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660" tabRatio="680"/>
  </bookViews>
  <sheets>
    <sheet name="March 2016" sheetId="1" r:id="rId1"/>
    <sheet name="Servings" sheetId="2" r:id="rId2"/>
    <sheet name="Calories" sheetId="5" r:id="rId3"/>
    <sheet name="Cholesterol" sheetId="6" r:id="rId4"/>
    <sheet name="Sodium" sheetId="7" r:id="rId5"/>
    <sheet name="Potassium" sheetId="9" r:id="rId6"/>
    <sheet name="Protein" sheetId="10" r:id="rId7"/>
    <sheet name="Protein Cholesterol %" sheetId="17" r:id="rId8"/>
    <sheet name="Weight" sheetId="14" r:id="rId9"/>
    <sheet name="Blood Pressure" sheetId="11" r:id="rId10"/>
    <sheet name="Pulse" sheetId="16" r:id="rId1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2" l="1"/>
  <c r="P43" i="2" s="1"/>
  <c r="L43" i="2" l="1"/>
  <c r="Q43" i="2"/>
  <c r="M43" i="2"/>
  <c r="N43" i="2"/>
  <c r="O43" i="2"/>
  <c r="K87" i="2"/>
  <c r="Q87" i="2" s="1"/>
  <c r="M87" i="2" l="1"/>
  <c r="N87" i="2"/>
  <c r="L87" i="2"/>
  <c r="O87" i="2"/>
  <c r="P87" i="2"/>
  <c r="K107" i="2"/>
  <c r="Q107" i="2" s="1"/>
  <c r="K108" i="2"/>
  <c r="N108" i="2" s="1"/>
  <c r="K109" i="2"/>
  <c r="M109" i="2" s="1"/>
  <c r="K110" i="2"/>
  <c r="N110" i="2" s="1"/>
  <c r="K25" i="2"/>
  <c r="M25" i="2" s="1"/>
  <c r="L109" i="2" l="1"/>
  <c r="L107" i="2"/>
  <c r="N107" i="2"/>
  <c r="O107" i="2"/>
  <c r="M107" i="2"/>
  <c r="P107" i="2"/>
  <c r="Q108" i="2"/>
  <c r="P108" i="2"/>
  <c r="L108" i="2"/>
  <c r="O108" i="2"/>
  <c r="M108" i="2"/>
  <c r="Q109" i="2"/>
  <c r="M110" i="2"/>
  <c r="L110" i="2"/>
  <c r="Q110" i="2"/>
  <c r="P109" i="2"/>
  <c r="P110" i="2"/>
  <c r="O109" i="2"/>
  <c r="Q25" i="2"/>
  <c r="O110" i="2"/>
  <c r="N109" i="2"/>
  <c r="N25" i="2"/>
  <c r="O25" i="2"/>
  <c r="P25" i="2"/>
  <c r="L25" i="2"/>
  <c r="K112" i="2"/>
  <c r="K113" i="2"/>
  <c r="P112" i="2" l="1"/>
  <c r="N112" i="2"/>
  <c r="Q112" i="2"/>
  <c r="L112" i="2"/>
  <c r="O112" i="2"/>
  <c r="M112" i="2"/>
  <c r="M25" i="1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11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P130" i="2" l="1"/>
  <c r="Q130" i="2"/>
  <c r="O68" i="2"/>
  <c r="L68" i="2"/>
  <c r="N68" i="2"/>
  <c r="M68" i="2"/>
  <c r="Q68" i="2"/>
  <c r="P68" i="2"/>
  <c r="M14" i="1"/>
  <c r="M7" i="1" l="1"/>
  <c r="M8" i="1"/>
  <c r="M9" i="1"/>
  <c r="M10" i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7" i="1" s="1"/>
  <c r="M5" i="1"/>
  <c r="M6" i="1"/>
  <c r="P32" i="2" l="1"/>
  <c r="Q32" i="2" l="1"/>
  <c r="M32" i="2"/>
  <c r="N32" i="2"/>
  <c r="O32" i="2"/>
  <c r="L32" i="2"/>
  <c r="P78" i="2"/>
  <c r="M78" i="2" l="1"/>
  <c r="L78" i="2"/>
  <c r="N78" i="2"/>
  <c r="O78" i="2"/>
  <c r="Q78" i="2"/>
  <c r="N141" i="2"/>
  <c r="O141" i="2" l="1"/>
  <c r="P141" i="2"/>
  <c r="Q141" i="2"/>
  <c r="L141" i="2"/>
  <c r="M141" i="2"/>
  <c r="O60" i="2"/>
  <c r="L60" i="2" l="1"/>
  <c r="P60" i="2"/>
  <c r="N60" i="2"/>
  <c r="Q60" i="2"/>
  <c r="M60" i="2"/>
  <c r="O20" i="2" l="1"/>
  <c r="P20" i="2"/>
  <c r="M20" i="2"/>
  <c r="Q20" i="2"/>
  <c r="N20" i="2"/>
  <c r="L20" i="2"/>
  <c r="L11" i="2"/>
  <c r="Q63" i="2"/>
  <c r="P123" i="2"/>
  <c r="P132" i="2"/>
  <c r="Q12" i="2" l="1"/>
  <c r="O12" i="2"/>
  <c r="P12" i="2"/>
  <c r="L12" i="2"/>
  <c r="M29" i="2"/>
  <c r="O29" i="2"/>
  <c r="P29" i="2"/>
  <c r="N29" i="2"/>
  <c r="Q29" i="2"/>
  <c r="Q28" i="2"/>
  <c r="P28" i="2"/>
  <c r="O28" i="2"/>
  <c r="N28" i="2"/>
  <c r="M28" i="2"/>
  <c r="L28" i="2"/>
  <c r="N63" i="2"/>
  <c r="L63" i="2"/>
  <c r="O63" i="2"/>
  <c r="M63" i="2"/>
  <c r="L143" i="2"/>
  <c r="Q143" i="2"/>
  <c r="P143" i="2"/>
  <c r="N143" i="2"/>
  <c r="M143" i="2"/>
  <c r="Q19" i="2"/>
  <c r="L19" i="2"/>
  <c r="M19" i="2"/>
  <c r="P19" i="2"/>
  <c r="O19" i="2"/>
  <c r="N19" i="2"/>
  <c r="Q21" i="2"/>
  <c r="L21" i="2"/>
  <c r="P21" i="2"/>
  <c r="M21" i="2"/>
  <c r="O21" i="2"/>
  <c r="N21" i="2"/>
  <c r="Q98" i="2"/>
  <c r="P98" i="2"/>
  <c r="O98" i="2"/>
  <c r="L98" i="2"/>
  <c r="N98" i="2"/>
  <c r="M98" i="2"/>
  <c r="L37" i="1"/>
  <c r="K37" i="1"/>
  <c r="G37" i="1"/>
  <c r="M23" i="2" l="1"/>
  <c r="L23" i="2" l="1"/>
  <c r="N23" i="2"/>
  <c r="Q23" i="2"/>
  <c r="P23" i="2"/>
  <c r="O23" i="2"/>
  <c r="Q81" i="2"/>
  <c r="M81" i="2" l="1"/>
  <c r="N81" i="2"/>
  <c r="L81" i="2"/>
  <c r="O81" i="2"/>
  <c r="P81" i="2"/>
  <c r="P90" i="2"/>
  <c r="P93" i="2"/>
  <c r="P94" i="2"/>
  <c r="P95" i="2"/>
  <c r="P96" i="2"/>
  <c r="P99" i="2"/>
  <c r="P100" i="2"/>
  <c r="P102" i="2"/>
  <c r="P104" i="2"/>
  <c r="P105" i="2"/>
  <c r="P106" i="2"/>
  <c r="P111" i="2"/>
  <c r="P113" i="2"/>
  <c r="P114" i="2"/>
  <c r="P116" i="2"/>
  <c r="P117" i="2"/>
  <c r="P118" i="2"/>
  <c r="P119" i="2"/>
  <c r="P120" i="2"/>
  <c r="P121" i="2"/>
  <c r="P122" i="2"/>
  <c r="P124" i="2"/>
  <c r="P125" i="2"/>
  <c r="P127" i="2"/>
  <c r="P128" i="2"/>
  <c r="P129" i="2"/>
  <c r="P131" i="2"/>
  <c r="P133" i="2"/>
  <c r="P134" i="2"/>
  <c r="P135" i="2"/>
  <c r="P136" i="2"/>
  <c r="P137" i="2"/>
  <c r="P138" i="2"/>
  <c r="P139" i="2"/>
  <c r="P140" i="2"/>
  <c r="P142" i="2"/>
  <c r="P89" i="2"/>
  <c r="N126" i="2" l="1"/>
  <c r="L126" i="2"/>
  <c r="Q126" i="2"/>
  <c r="P126" i="2"/>
  <c r="P101" i="2"/>
  <c r="M101" i="2"/>
  <c r="O101" i="2"/>
  <c r="L101" i="2"/>
  <c r="Q101" i="2"/>
  <c r="N101" i="2"/>
  <c r="P115" i="2"/>
  <c r="N115" i="2"/>
  <c r="L97" i="2"/>
  <c r="P97" i="2"/>
  <c r="M92" i="2"/>
  <c r="P92" i="2"/>
  <c r="Q91" i="2"/>
  <c r="P91" i="2"/>
  <c r="N111" i="2"/>
  <c r="Q111" i="2"/>
  <c r="L111" i="2"/>
  <c r="O111" i="2"/>
  <c r="M91" i="2"/>
  <c r="L91" i="2"/>
  <c r="N91" i="2"/>
  <c r="O91" i="2"/>
  <c r="L92" i="2"/>
  <c r="Q92" i="2"/>
  <c r="O92" i="2"/>
  <c r="N92" i="2"/>
  <c r="M49" i="2" l="1"/>
  <c r="P49" i="2"/>
  <c r="M48" i="2"/>
  <c r="P48" i="2"/>
  <c r="Q48" i="2"/>
  <c r="O48" i="2"/>
  <c r="L48" i="2"/>
  <c r="O49" i="2"/>
  <c r="L49" i="2"/>
  <c r="Q49" i="2"/>
  <c r="N49" i="2"/>
  <c r="N48" i="2"/>
  <c r="R3" i="2"/>
  <c r="M15" i="2" l="1"/>
  <c r="P15" i="2"/>
  <c r="L15" i="2"/>
  <c r="N15" i="2"/>
  <c r="O15" i="2"/>
  <c r="Q15" i="2"/>
  <c r="L105" i="2"/>
  <c r="N105" i="2" l="1"/>
  <c r="Q105" i="2"/>
  <c r="O105" i="2"/>
  <c r="M105" i="2"/>
  <c r="P86" i="2"/>
  <c r="O86" i="2" l="1"/>
  <c r="Q86" i="2"/>
  <c r="L86" i="2"/>
  <c r="N86" i="2"/>
  <c r="M86" i="2"/>
  <c r="M115" i="2"/>
  <c r="O115" i="2" l="1"/>
  <c r="Q115" i="2"/>
  <c r="L115" i="2"/>
  <c r="M9" i="2" l="1"/>
  <c r="P9" i="2"/>
  <c r="N9" i="2"/>
  <c r="Q9" i="2"/>
  <c r="L9" i="2"/>
  <c r="N125" i="2" l="1"/>
  <c r="O125" i="2" l="1"/>
  <c r="Q125" i="2"/>
  <c r="L125" i="2"/>
  <c r="M125" i="2"/>
  <c r="M126" i="2"/>
  <c r="O126" i="2"/>
  <c r="Q39" i="2" l="1"/>
  <c r="P39" i="2"/>
  <c r="L39" i="2"/>
  <c r="N39" i="2"/>
  <c r="O39" i="2"/>
  <c r="M39" i="2"/>
  <c r="Q123" i="2"/>
  <c r="O123" i="2" l="1"/>
  <c r="L123" i="2"/>
  <c r="M123" i="2"/>
  <c r="N123" i="2"/>
  <c r="O143" i="2" l="1"/>
  <c r="I37" i="1"/>
  <c r="J37" i="1"/>
  <c r="O42" i="2" l="1"/>
  <c r="P42" i="2"/>
  <c r="L42" i="2"/>
  <c r="Q42" i="2"/>
  <c r="N42" i="2"/>
  <c r="M42" i="2"/>
  <c r="P4" i="2"/>
  <c r="P6" i="2"/>
  <c r="P7" i="2"/>
  <c r="P8" i="2"/>
  <c r="P10" i="2"/>
  <c r="P14" i="2"/>
  <c r="P16" i="2"/>
  <c r="P18" i="2"/>
  <c r="P24" i="2"/>
  <c r="P26" i="2"/>
  <c r="P27" i="2"/>
  <c r="P33" i="2"/>
  <c r="P34" i="2"/>
  <c r="P35" i="2"/>
  <c r="P36" i="2"/>
  <c r="P37" i="2"/>
  <c r="P38" i="2"/>
  <c r="P40" i="2"/>
  <c r="P41" i="2"/>
  <c r="P44" i="2"/>
  <c r="P45" i="2"/>
  <c r="P46" i="2"/>
  <c r="P47" i="2"/>
  <c r="P50" i="2"/>
  <c r="P51" i="2"/>
  <c r="P52" i="2"/>
  <c r="P53" i="2"/>
  <c r="P54" i="2"/>
  <c r="P55" i="2"/>
  <c r="P56" i="2"/>
  <c r="P57" i="2"/>
  <c r="P58" i="2"/>
  <c r="P59" i="2"/>
  <c r="P61" i="2"/>
  <c r="P63" i="2"/>
  <c r="P64" i="2"/>
  <c r="P66" i="2"/>
  <c r="P67" i="2"/>
  <c r="P69" i="2"/>
  <c r="P70" i="2"/>
  <c r="P71" i="2"/>
  <c r="P72" i="2"/>
  <c r="P73" i="2"/>
  <c r="P74" i="2"/>
  <c r="P75" i="2"/>
  <c r="P76" i="2"/>
  <c r="P77" i="2"/>
  <c r="P79" i="2"/>
  <c r="P82" i="2"/>
  <c r="P83" i="2"/>
  <c r="P84" i="2"/>
  <c r="P85" i="2"/>
  <c r="P88" i="2"/>
  <c r="L124" i="2"/>
  <c r="P3" i="2"/>
  <c r="Q80" i="2" l="1"/>
  <c r="P80" i="2"/>
  <c r="O80" i="2"/>
  <c r="L80" i="2"/>
  <c r="N80" i="2"/>
  <c r="M80" i="2"/>
  <c r="O13" i="2"/>
  <c r="N13" i="2"/>
  <c r="M13" i="2"/>
  <c r="L13" i="2"/>
  <c r="P13" i="2"/>
  <c r="Q13" i="2"/>
  <c r="P65" i="2"/>
  <c r="Q65" i="2"/>
  <c r="Q22" i="2"/>
  <c r="P22" i="2"/>
  <c r="N22" i="2"/>
  <c r="Q11" i="2"/>
  <c r="P11" i="2"/>
  <c r="N11" i="2"/>
  <c r="Q62" i="2"/>
  <c r="P62" i="2"/>
  <c r="N31" i="2"/>
  <c r="P31" i="2"/>
  <c r="M30" i="2"/>
  <c r="P30" i="2"/>
  <c r="P17" i="2"/>
  <c r="N17" i="2"/>
  <c r="L17" i="2"/>
  <c r="N5" i="2"/>
  <c r="L5" i="2"/>
  <c r="O5" i="2"/>
  <c r="Q5" i="2"/>
  <c r="Q89" i="2"/>
  <c r="O89" i="2"/>
  <c r="N89" i="2"/>
  <c r="L89" i="2"/>
  <c r="L54" i="2"/>
  <c r="N54" i="2"/>
  <c r="O54" i="2"/>
  <c r="M114" i="2"/>
  <c r="L114" i="2"/>
  <c r="N114" i="2"/>
  <c r="N10" i="2"/>
  <c r="M10" i="2"/>
  <c r="Q10" i="2"/>
  <c r="L10" i="2"/>
  <c r="N73" i="2"/>
  <c r="L73" i="2"/>
  <c r="M12" i="2"/>
  <c r="M117" i="2"/>
  <c r="L117" i="2"/>
  <c r="Q117" i="2"/>
  <c r="N117" i="2"/>
  <c r="L29" i="2"/>
  <c r="N12" i="2"/>
  <c r="Q131" i="2"/>
  <c r="L131" i="2" l="1"/>
  <c r="O131" i="2"/>
  <c r="M131" i="2"/>
  <c r="N131" i="2"/>
  <c r="O53" i="2"/>
  <c r="L53" i="2" l="1"/>
  <c r="M53" i="2"/>
  <c r="Q53" i="2"/>
  <c r="N53" i="2"/>
  <c r="L31" i="2" l="1"/>
  <c r="Q31" i="2"/>
  <c r="O31" i="2"/>
  <c r="M31" i="2"/>
  <c r="M45" i="2" l="1"/>
  <c r="N45" i="2"/>
  <c r="O45" i="2"/>
  <c r="L45" i="2"/>
  <c r="Q45" i="2"/>
  <c r="M90" i="2"/>
  <c r="N90" i="2" l="1"/>
  <c r="Q90" i="2"/>
  <c r="O90" i="2"/>
  <c r="L90" i="2"/>
  <c r="N61" i="2"/>
  <c r="O100" i="2"/>
  <c r="L100" i="2" l="1"/>
  <c r="N100" i="2"/>
  <c r="Q100" i="2"/>
  <c r="M100" i="2"/>
  <c r="Q142" i="2"/>
  <c r="L140" i="2"/>
  <c r="L136" i="2"/>
  <c r="Q135" i="2"/>
  <c r="Q134" i="2"/>
  <c r="L132" i="2"/>
  <c r="N128" i="2"/>
  <c r="O124" i="2"/>
  <c r="O122" i="2"/>
  <c r="L120" i="2"/>
  <c r="N116" i="2"/>
  <c r="Q106" i="2"/>
  <c r="O103" i="2"/>
  <c r="Q95" i="2"/>
  <c r="N94" i="2"/>
  <c r="L93" i="2"/>
  <c r="Q84" i="2"/>
  <c r="N83" i="2"/>
  <c r="L82" i="2"/>
  <c r="Q79" i="2"/>
  <c r="O75" i="2"/>
  <c r="Q72" i="2"/>
  <c r="Q71" i="2"/>
  <c r="Q67" i="2"/>
  <c r="N66" i="2"/>
  <c r="N64" i="2"/>
  <c r="Q59" i="2"/>
  <c r="Q58" i="2"/>
  <c r="M56" i="2"/>
  <c r="Q55" i="2"/>
  <c r="L51" i="2"/>
  <c r="Q50" i="2"/>
  <c r="N47" i="2"/>
  <c r="Q44" i="2"/>
  <c r="Q41" i="2"/>
  <c r="L40" i="2"/>
  <c r="N37" i="2"/>
  <c r="L36" i="2"/>
  <c r="Q34" i="2"/>
  <c r="L30" i="2"/>
  <c r="N27" i="2"/>
  <c r="Q8" i="2"/>
  <c r="N7" i="2"/>
  <c r="L6" i="2"/>
  <c r="L4" i="2"/>
  <c r="O3" i="2"/>
  <c r="Q88" i="2" l="1"/>
  <c r="O88" i="2"/>
  <c r="L88" i="2"/>
  <c r="N88" i="2"/>
  <c r="M88" i="2"/>
  <c r="N104" i="2"/>
  <c r="L104" i="2"/>
  <c r="Q104" i="2"/>
  <c r="O104" i="2"/>
  <c r="Q85" i="2"/>
  <c r="L85" i="2"/>
  <c r="Q139" i="2"/>
  <c r="O139" i="2"/>
  <c r="N139" i="2"/>
  <c r="M139" i="2"/>
  <c r="L139" i="2"/>
  <c r="N16" i="2"/>
  <c r="Q16" i="2"/>
  <c r="O16" i="2"/>
  <c r="M16" i="2"/>
  <c r="L16" i="2"/>
  <c r="O38" i="2"/>
  <c r="N38" i="2"/>
  <c r="M38" i="2"/>
  <c r="L38" i="2"/>
  <c r="Q38" i="2"/>
  <c r="O61" i="2"/>
  <c r="Q61" i="2"/>
  <c r="M61" i="2"/>
  <c r="L61" i="2"/>
  <c r="O69" i="2"/>
  <c r="N69" i="2"/>
  <c r="M69" i="2"/>
  <c r="L69" i="2"/>
  <c r="Q69" i="2"/>
  <c r="O77" i="2"/>
  <c r="Q77" i="2"/>
  <c r="N77" i="2"/>
  <c r="L77" i="2"/>
  <c r="M77" i="2"/>
  <c r="Q118" i="2"/>
  <c r="O118" i="2"/>
  <c r="N118" i="2"/>
  <c r="M118" i="2"/>
  <c r="L118" i="2"/>
  <c r="L14" i="2"/>
  <c r="N14" i="2"/>
  <c r="M14" i="2"/>
  <c r="Q14" i="2"/>
  <c r="O14" i="2"/>
  <c r="O76" i="2"/>
  <c r="M76" i="2"/>
  <c r="Q76" i="2"/>
  <c r="N76" i="2"/>
  <c r="L76" i="2"/>
  <c r="L130" i="2"/>
  <c r="O130" i="2"/>
  <c r="N130" i="2"/>
  <c r="M130" i="2"/>
  <c r="M52" i="2"/>
  <c r="L52" i="2"/>
  <c r="O52" i="2"/>
  <c r="Q52" i="2"/>
  <c r="N52" i="2"/>
  <c r="O62" i="2"/>
  <c r="L62" i="2"/>
  <c r="M62" i="2"/>
  <c r="N62" i="2"/>
  <c r="Q70" i="2"/>
  <c r="L70" i="2"/>
  <c r="O70" i="2"/>
  <c r="N70" i="2"/>
  <c r="M70" i="2"/>
  <c r="M111" i="2"/>
  <c r="Q121" i="2"/>
  <c r="O121" i="2"/>
  <c r="N121" i="2"/>
  <c r="M121" i="2"/>
  <c r="L121" i="2"/>
  <c r="Q133" i="2"/>
  <c r="O133" i="2"/>
  <c r="N133" i="2"/>
  <c r="M133" i="2"/>
  <c r="L133" i="2"/>
  <c r="N26" i="2"/>
  <c r="M26" i="2"/>
  <c r="L26" i="2"/>
  <c r="Q26" i="2"/>
  <c r="O26" i="2"/>
  <c r="Q119" i="2"/>
  <c r="O119" i="2"/>
  <c r="N119" i="2"/>
  <c r="M119" i="2"/>
  <c r="L119" i="2"/>
  <c r="Q18" i="2"/>
  <c r="O18" i="2"/>
  <c r="N18" i="2"/>
  <c r="L18" i="2"/>
  <c r="M18" i="2"/>
  <c r="Q54" i="2"/>
  <c r="M54" i="2"/>
  <c r="Q113" i="2"/>
  <c r="M113" i="2"/>
  <c r="O113" i="2"/>
  <c r="N113" i="2"/>
  <c r="L113" i="2"/>
  <c r="Q129" i="2"/>
  <c r="O129" i="2"/>
  <c r="N129" i="2"/>
  <c r="M129" i="2"/>
  <c r="L129" i="2"/>
  <c r="Q33" i="2"/>
  <c r="M33" i="2"/>
  <c r="N33" i="2"/>
  <c r="L33" i="2"/>
  <c r="O33" i="2"/>
  <c r="Q102" i="2"/>
  <c r="O102" i="2"/>
  <c r="N102" i="2"/>
  <c r="M102" i="2"/>
  <c r="L102" i="2"/>
  <c r="Q114" i="2"/>
  <c r="O114" i="2"/>
  <c r="O96" i="2"/>
  <c r="N96" i="2"/>
  <c r="L96" i="2"/>
  <c r="Q96" i="2"/>
  <c r="M96" i="2"/>
  <c r="L46" i="2"/>
  <c r="Q46" i="2"/>
  <c r="N46" i="2"/>
  <c r="O46" i="2"/>
  <c r="M46" i="2"/>
  <c r="Q73" i="2"/>
  <c r="O73" i="2"/>
  <c r="M73" i="2"/>
  <c r="Q127" i="2"/>
  <c r="O127" i="2"/>
  <c r="N127" i="2"/>
  <c r="M127" i="2"/>
  <c r="L127" i="2"/>
  <c r="Q138" i="2"/>
  <c r="O138" i="2"/>
  <c r="N138" i="2"/>
  <c r="M138" i="2"/>
  <c r="L138" i="2"/>
  <c r="O24" i="2"/>
  <c r="N24" i="2"/>
  <c r="M24" i="2"/>
  <c r="Q24" i="2"/>
  <c r="L24" i="2"/>
  <c r="L35" i="2"/>
  <c r="N35" i="2"/>
  <c r="O35" i="2"/>
  <c r="M35" i="2"/>
  <c r="Q35" i="2"/>
  <c r="Q57" i="2"/>
  <c r="N57" i="2"/>
  <c r="M57" i="2"/>
  <c r="L57" i="2"/>
  <c r="O57" i="2"/>
  <c r="Q74" i="2"/>
  <c r="N74" i="2"/>
  <c r="L74" i="2"/>
  <c r="O74" i="2"/>
  <c r="M74" i="2"/>
  <c r="O117" i="2"/>
  <c r="N137" i="2"/>
  <c r="L137" i="2"/>
  <c r="Q137" i="2"/>
  <c r="O137" i="2"/>
  <c r="M137" i="2"/>
  <c r="Q99" i="2"/>
  <c r="O99" i="2"/>
  <c r="N99" i="2"/>
  <c r="M99" i="2"/>
  <c r="L99" i="2"/>
  <c r="N132" i="2"/>
  <c r="N79" i="2"/>
  <c r="M82" i="2"/>
  <c r="N106" i="2"/>
  <c r="Q136" i="2"/>
  <c r="L103" i="2"/>
  <c r="P103" i="2" s="1"/>
  <c r="P1" i="2" s="1"/>
  <c r="G2" i="1" s="1"/>
  <c r="N103" i="2"/>
  <c r="Q103" i="2"/>
  <c r="L64" i="2"/>
  <c r="N82" i="2"/>
  <c r="Q124" i="2"/>
  <c r="L128" i="2"/>
  <c r="O128" i="2"/>
  <c r="N51" i="2"/>
  <c r="N56" i="2"/>
  <c r="L58" i="2"/>
  <c r="O106" i="2"/>
  <c r="O82" i="2"/>
  <c r="O36" i="2"/>
  <c r="O51" i="2"/>
  <c r="O58" i="2"/>
  <c r="L71" i="2"/>
  <c r="L37" i="2"/>
  <c r="M120" i="2"/>
  <c r="M122" i="2"/>
  <c r="N140" i="2"/>
  <c r="Q37" i="2"/>
  <c r="Q122" i="2"/>
  <c r="M27" i="2"/>
  <c r="N8" i="2"/>
  <c r="M47" i="2"/>
  <c r="O94" i="2"/>
  <c r="N120" i="2"/>
  <c r="Q128" i="2"/>
  <c r="O132" i="2"/>
  <c r="O7" i="2"/>
  <c r="O72" i="2"/>
  <c r="M83" i="2"/>
  <c r="O47" i="2"/>
  <c r="M106" i="2"/>
  <c r="O120" i="2"/>
  <c r="Q132" i="2"/>
  <c r="N134" i="2"/>
  <c r="Q47" i="2"/>
  <c r="Q120" i="2"/>
  <c r="M7" i="2"/>
  <c r="N30" i="2"/>
  <c r="L72" i="2"/>
  <c r="M136" i="2"/>
  <c r="O140" i="2"/>
  <c r="M72" i="2"/>
  <c r="N136" i="2"/>
  <c r="N4" i="2"/>
  <c r="Q7" i="2"/>
  <c r="L27" i="2"/>
  <c r="O37" i="2"/>
  <c r="N72" i="2"/>
  <c r="L83" i="2"/>
  <c r="M128" i="2"/>
  <c r="M132" i="2"/>
  <c r="O136" i="2"/>
  <c r="M142" i="2"/>
  <c r="Q4" i="2"/>
  <c r="O27" i="2"/>
  <c r="O30" i="2"/>
  <c r="N34" i="2"/>
  <c r="M36" i="2"/>
  <c r="N41" i="2"/>
  <c r="O59" i="2"/>
  <c r="O71" i="2"/>
  <c r="O83" i="2"/>
  <c r="L94" i="2"/>
  <c r="Q97" i="2"/>
  <c r="O67" i="2"/>
  <c r="O6" i="2"/>
  <c r="L7" i="2"/>
  <c r="M11" i="2"/>
  <c r="Q27" i="2"/>
  <c r="N36" i="2"/>
  <c r="L47" i="2"/>
  <c r="M51" i="2"/>
  <c r="Q83" i="2"/>
  <c r="M94" i="2"/>
  <c r="L106" i="2"/>
  <c r="L67" i="2"/>
  <c r="L75" i="2"/>
  <c r="N84" i="2"/>
  <c r="M93" i="2"/>
  <c r="Q94" i="2"/>
  <c r="Q75" i="2"/>
  <c r="N93" i="2"/>
  <c r="Q3" i="2"/>
  <c r="M6" i="2"/>
  <c r="M37" i="2"/>
  <c r="L59" i="2"/>
  <c r="O93" i="2"/>
  <c r="N95" i="2"/>
  <c r="M97" i="2"/>
  <c r="N6" i="2"/>
  <c r="M59" i="2"/>
  <c r="Q93" i="2"/>
  <c r="N97" i="2"/>
  <c r="N59" i="2"/>
  <c r="N65" i="2"/>
  <c r="O97" i="2"/>
  <c r="L44" i="2"/>
  <c r="L50" i="2"/>
  <c r="L55" i="2"/>
  <c r="O56" i="2"/>
  <c r="L135" i="2"/>
  <c r="M44" i="2"/>
  <c r="M50" i="2"/>
  <c r="M55" i="2"/>
  <c r="Q56" i="2"/>
  <c r="M85" i="2"/>
  <c r="M135" i="2"/>
  <c r="Q140" i="2"/>
  <c r="N3" i="2"/>
  <c r="Q6" i="2"/>
  <c r="L8" i="2"/>
  <c r="L22" i="2"/>
  <c r="Q30" i="2"/>
  <c r="L34" i="2"/>
  <c r="Q36" i="2"/>
  <c r="L41" i="2"/>
  <c r="N44" i="2"/>
  <c r="N50" i="2"/>
  <c r="Q51" i="2"/>
  <c r="N55" i="2"/>
  <c r="M58" i="2"/>
  <c r="L65" i="2"/>
  <c r="M67" i="2"/>
  <c r="M71" i="2"/>
  <c r="N75" i="2"/>
  <c r="L79" i="2"/>
  <c r="Q82" i="2"/>
  <c r="L84" i="2"/>
  <c r="N85" i="2"/>
  <c r="L95" i="2"/>
  <c r="M104" i="2"/>
  <c r="N124" i="2"/>
  <c r="L134" i="2"/>
  <c r="N135" i="2"/>
  <c r="L3" i="2"/>
  <c r="M5" i="2"/>
  <c r="M8" i="2"/>
  <c r="O10" i="2"/>
  <c r="M22" i="2"/>
  <c r="M34" i="2"/>
  <c r="M41" i="2"/>
  <c r="O44" i="2"/>
  <c r="O50" i="2"/>
  <c r="N58" i="2"/>
  <c r="M65" i="2"/>
  <c r="N67" i="2"/>
  <c r="N71" i="2"/>
  <c r="M79" i="2"/>
  <c r="M84" i="2"/>
  <c r="O85" i="2"/>
  <c r="M89" i="2"/>
  <c r="M95" i="2"/>
  <c r="L122" i="2"/>
  <c r="M134" i="2"/>
  <c r="O135" i="2"/>
  <c r="L142" i="2"/>
  <c r="O8" i="2"/>
  <c r="O22" i="2"/>
  <c r="O34" i="2"/>
  <c r="O41" i="2"/>
  <c r="L56" i="2"/>
  <c r="O79" i="2"/>
  <c r="O84" i="2"/>
  <c r="O95" i="2"/>
  <c r="N122" i="2"/>
  <c r="O134" i="2"/>
  <c r="N142" i="2"/>
  <c r="N1" i="2" l="1"/>
  <c r="O1" i="2"/>
  <c r="Q1" i="2"/>
  <c r="M1" i="2"/>
  <c r="L1" i="2"/>
  <c r="C2" i="1" s="1"/>
  <c r="S2" i="2"/>
  <c r="H37" i="1" l="1"/>
  <c r="F37" i="1"/>
  <c r="E37" i="1"/>
  <c r="D37" i="1"/>
  <c r="C37" i="1"/>
  <c r="E2" i="1" l="1"/>
  <c r="F2" i="1"/>
  <c r="H2" i="1"/>
  <c r="D2" i="1"/>
</calcChain>
</file>

<file path=xl/sharedStrings.xml><?xml version="1.0" encoding="utf-8"?>
<sst xmlns="http://schemas.openxmlformats.org/spreadsheetml/2006/main" count="400" uniqueCount="285">
  <si>
    <t>Foods</t>
  </si>
  <si>
    <t>Calories</t>
  </si>
  <si>
    <t>Chili</t>
  </si>
  <si>
    <t>Chocolate</t>
  </si>
  <si>
    <t>Tartar Sauce</t>
  </si>
  <si>
    <t>Tea</t>
  </si>
  <si>
    <t>Cholesterol</t>
  </si>
  <si>
    <t>Sodium</t>
  </si>
  <si>
    <t>Potassium</t>
  </si>
  <si>
    <t>Protein</t>
  </si>
  <si>
    <t>Date</t>
  </si>
  <si>
    <t>Cholesterol mg</t>
  </si>
  <si>
    <t>Sodium mg</t>
  </si>
  <si>
    <t>Potassium mg</t>
  </si>
  <si>
    <t>Protein g</t>
  </si>
  <si>
    <t>Currently</t>
  </si>
  <si>
    <t>Peas</t>
  </si>
  <si>
    <t>Hush Puppies</t>
  </si>
  <si>
    <t>Crackers</t>
  </si>
  <si>
    <t>Peanut Butter</t>
  </si>
  <si>
    <t>Bread</t>
  </si>
  <si>
    <t>Cheese</t>
  </si>
  <si>
    <t xml:space="preserve">Potato </t>
  </si>
  <si>
    <t>Fish Filets</t>
  </si>
  <si>
    <t>Salt</t>
  </si>
  <si>
    <t xml:space="preserve">Totals </t>
  </si>
  <si>
    <t>V-8 Vegetable Juice</t>
  </si>
  <si>
    <t>Apple Turnover</t>
  </si>
  <si>
    <t xml:space="preserve">Sourdough Bread </t>
  </si>
  <si>
    <t>Servings</t>
  </si>
  <si>
    <t>Cholesterol 300</t>
  </si>
  <si>
    <t>Sodium 2400</t>
  </si>
  <si>
    <t>Potassium 1500+</t>
  </si>
  <si>
    <t>Bag</t>
  </si>
  <si>
    <t>Protein 96 g</t>
  </si>
  <si>
    <t>Cool Whip</t>
  </si>
  <si>
    <t>Serving size/type</t>
  </si>
  <si>
    <t>Ham</t>
  </si>
  <si>
    <t>Ketchup</t>
  </si>
  <si>
    <t xml:space="preserve">Dutch Apple Pie </t>
  </si>
  <si>
    <t>Egg</t>
  </si>
  <si>
    <t>German Chocolate Pie</t>
  </si>
  <si>
    <t>Chicken &amp; Rice w/soy sauce</t>
  </si>
  <si>
    <t>Hard Candy</t>
  </si>
  <si>
    <t>oz.</t>
  </si>
  <si>
    <t>grams</t>
  </si>
  <si>
    <t>Adding</t>
  </si>
  <si>
    <t>Velveeta Queso Blanco</t>
  </si>
  <si>
    <t>Miracle Whip</t>
  </si>
  <si>
    <t>Lime-aid</t>
  </si>
  <si>
    <t>Ice Cream</t>
  </si>
  <si>
    <t>Hot Dogs</t>
  </si>
  <si>
    <t>Pepsi</t>
  </si>
  <si>
    <t>Tacos</t>
  </si>
  <si>
    <t>Mexican White Cheese &amp; Mac</t>
  </si>
  <si>
    <t>Corn</t>
  </si>
  <si>
    <t>Soda Pop</t>
  </si>
  <si>
    <t>Chocolate Chip Cookies</t>
  </si>
  <si>
    <t>Fish (Swai)</t>
  </si>
  <si>
    <t>Hot Sauce Mexican (Valentina)</t>
  </si>
  <si>
    <t>Milk</t>
  </si>
  <si>
    <t>Chicken Nuggets</t>
  </si>
  <si>
    <t>Mustard</t>
  </si>
  <si>
    <t>Potato Salad</t>
  </si>
  <si>
    <t>Goldfish (Cheddar)</t>
  </si>
  <si>
    <t>1 Pouch</t>
  </si>
  <si>
    <t>Low</t>
  </si>
  <si>
    <t>Thai Stir-Fry</t>
  </si>
  <si>
    <t>Pineapple Tidbits</t>
  </si>
  <si>
    <t>Pear Halves (in juice)</t>
  </si>
  <si>
    <t>Take Supplement</t>
  </si>
  <si>
    <t>Special Colors</t>
  </si>
  <si>
    <t>Stop</t>
  </si>
  <si>
    <t>Warning, Avoid More</t>
  </si>
  <si>
    <t>Not Ideal but Good</t>
  </si>
  <si>
    <t>Great</t>
  </si>
  <si>
    <t>Chicken &amp; Rice Stir-Fry</t>
  </si>
  <si>
    <t>&gt;1499</t>
  </si>
  <si>
    <t xml:space="preserve"> &lt;1000</t>
  </si>
  <si>
    <t>&gt;2500</t>
  </si>
  <si>
    <t>1000 - 1499</t>
  </si>
  <si>
    <t>&gt;62</t>
  </si>
  <si>
    <t>&lt;62</t>
  </si>
  <si>
    <t>Green Onions (Scallions)</t>
  </si>
  <si>
    <t>Steak-umm</t>
  </si>
  <si>
    <t>Sweet Potato</t>
  </si>
  <si>
    <t>Philly Steak &amp; Cheese</t>
  </si>
  <si>
    <t>Sandwich</t>
  </si>
  <si>
    <t>Ham (packaged)</t>
  </si>
  <si>
    <t>1 slice</t>
  </si>
  <si>
    <t>Tomato</t>
  </si>
  <si>
    <t>2 Cups</t>
  </si>
  <si>
    <t>fl. oz.</t>
  </si>
  <si>
    <t>1/4 inch</t>
  </si>
  <si>
    <t>121 g</t>
  </si>
  <si>
    <t>Slice</t>
  </si>
  <si>
    <t>each</t>
  </si>
  <si>
    <t>bowl</t>
  </si>
  <si>
    <t>Cup</t>
  </si>
  <si>
    <t>Can</t>
  </si>
  <si>
    <t>tsp</t>
  </si>
  <si>
    <t>1.5 Cups</t>
  </si>
  <si>
    <t>6 Pieces</t>
  </si>
  <si>
    <t>1/2 Cup</t>
  </si>
  <si>
    <t>10 Pieces</t>
  </si>
  <si>
    <t>2 Filets</t>
  </si>
  <si>
    <t>1/4 lb.</t>
  </si>
  <si>
    <t>1/4</t>
  </si>
  <si>
    <t>20 oz.</t>
  </si>
  <si>
    <t>1/4 Cup</t>
  </si>
  <si>
    <t>8 oz. Can</t>
  </si>
  <si>
    <t>1 oz.</t>
  </si>
  <si>
    <t>slice</t>
  </si>
  <si>
    <t>1 set</t>
  </si>
  <si>
    <t>Grilled Cheese</t>
  </si>
  <si>
    <t>sandwich</t>
  </si>
  <si>
    <t>Average</t>
  </si>
  <si>
    <t>Pizza</t>
  </si>
  <si>
    <t>Mac &amp; Cheese /w Beef</t>
  </si>
  <si>
    <t>&lt;2000</t>
  </si>
  <si>
    <t>2001 - 2499</t>
  </si>
  <si>
    <t>Tangerine</t>
  </si>
  <si>
    <t>Cucumber</t>
  </si>
  <si>
    <t>French Fries</t>
  </si>
  <si>
    <t>Mac &amp; Meat Sauce</t>
  </si>
  <si>
    <t>Fruit Cocktail</t>
  </si>
  <si>
    <t>Steak-umm Beef Patty</t>
  </si>
  <si>
    <t>Brunswick Stew</t>
  </si>
  <si>
    <t>Jelly</t>
  </si>
  <si>
    <t>Tbsp.</t>
  </si>
  <si>
    <t>California Blend</t>
  </si>
  <si>
    <t>Chicken</t>
  </si>
  <si>
    <t>A new record starts every midnight</t>
  </si>
  <si>
    <t>Act II Popcorn Butter Lovers</t>
  </si>
  <si>
    <t>Baked Beans</t>
  </si>
  <si>
    <t>Banana</t>
  </si>
  <si>
    <t>Banana Nut Cake</t>
  </si>
  <si>
    <t>piece</t>
  </si>
  <si>
    <t>Brown Gravy</t>
  </si>
  <si>
    <t>1/4 cup</t>
  </si>
  <si>
    <t>Chicken Stew</t>
  </si>
  <si>
    <t xml:space="preserve">  Cups</t>
  </si>
  <si>
    <t>Chili Chicken and Rice</t>
  </si>
  <si>
    <t>3/4 cup</t>
  </si>
  <si>
    <t>Chocolate Pudding Pie (Oreo)</t>
  </si>
  <si>
    <t>2 Tbsp.</t>
  </si>
  <si>
    <t>3 Tbsp.</t>
  </si>
  <si>
    <t>Ham (Chopped Ham /Craft)</t>
  </si>
  <si>
    <t>Ice Cream (English Toffee bars)</t>
  </si>
  <si>
    <t>bar</t>
  </si>
  <si>
    <t>Italian Dress (Zesty)</t>
  </si>
  <si>
    <t>Jell-O</t>
  </si>
  <si>
    <t>.25 pack</t>
  </si>
  <si>
    <t>Jell-O &amp; Fruit mix</t>
  </si>
  <si>
    <t>Mac &amp; Velveeta Cheese</t>
  </si>
  <si>
    <t>Meat Balls</t>
  </si>
  <si>
    <t>Penne Rigate with Meat Sauce</t>
  </si>
  <si>
    <t>ounces</t>
  </si>
  <si>
    <t>Pizza Stuffed Shell</t>
  </si>
  <si>
    <t>Pork Barbecue</t>
  </si>
  <si>
    <t>Pork Chop</t>
  </si>
  <si>
    <t>two</t>
  </si>
  <si>
    <t>Pudding</t>
  </si>
  <si>
    <t>Ranch Dressing (Bacon)</t>
  </si>
  <si>
    <t>Ritz Crackers</t>
  </si>
  <si>
    <t>Salad</t>
  </si>
  <si>
    <t>dash</t>
  </si>
  <si>
    <t>Sausage</t>
  </si>
  <si>
    <t>Sharp Cheddar</t>
  </si>
  <si>
    <t>Shrimp Poppers</t>
  </si>
  <si>
    <t>20 pc.</t>
  </si>
  <si>
    <t>Smoked Sausage (Bar S)</t>
  </si>
  <si>
    <t>once</t>
  </si>
  <si>
    <t>Stuffed Pepper</t>
  </si>
  <si>
    <t>Tuna Salad</t>
  </si>
  <si>
    <t>Turkey (Oscer Mayer Lean)</t>
  </si>
  <si>
    <t>Pop Tarts</t>
  </si>
  <si>
    <t>Meal 2</t>
  </si>
  <si>
    <t>Meal 3</t>
  </si>
  <si>
    <t>Meal 1</t>
  </si>
  <si>
    <t>Peanut Butter Fudge</t>
  </si>
  <si>
    <t>Cranberry Juice</t>
  </si>
  <si>
    <t>8 oz.</t>
  </si>
  <si>
    <t>Chicken Pot Pie</t>
  </si>
  <si>
    <t>Spam</t>
  </si>
  <si>
    <t>1/6 of can</t>
  </si>
  <si>
    <t>French Onion Dip</t>
  </si>
  <si>
    <t>Potato Chips</t>
  </si>
  <si>
    <t>Sugar Free Syrup</t>
  </si>
  <si>
    <t>Pancake</t>
  </si>
  <si>
    <t>1591 - 2000</t>
  </si>
  <si>
    <t>591 - 1590</t>
  </si>
  <si>
    <t>&lt;590</t>
  </si>
  <si>
    <t>&gt;2000</t>
  </si>
  <si>
    <t>Corn on the Cob</t>
  </si>
  <si>
    <t>Simvastatin</t>
  </si>
  <si>
    <t>sys</t>
  </si>
  <si>
    <t>dia</t>
  </si>
  <si>
    <t>pulse</t>
  </si>
  <si>
    <t>Three Cheese Potatoes</t>
  </si>
  <si>
    <t>2/3 cup</t>
  </si>
  <si>
    <t>56g</t>
  </si>
  <si>
    <t>Summer Sausage</t>
  </si>
  <si>
    <t>&lt;120</t>
  </si>
  <si>
    <t>120 - 199</t>
  </si>
  <si>
    <t>&gt;199</t>
  </si>
  <si>
    <t>Hamburger Paddy</t>
  </si>
  <si>
    <t>Bolongna (Oscar)</t>
  </si>
  <si>
    <t>Salami Cotto (Oscar)</t>
  </si>
  <si>
    <t>Sour Cream</t>
  </si>
  <si>
    <t>Spaghetti</t>
  </si>
  <si>
    <t>serving</t>
  </si>
  <si>
    <t>Salisbury Steak</t>
  </si>
  <si>
    <t>1.5 cups</t>
  </si>
  <si>
    <t>Beef Stew</t>
  </si>
  <si>
    <t>Beef Alfredo</t>
  </si>
  <si>
    <t>Orange</t>
  </si>
  <si>
    <t>2 oz.</t>
  </si>
  <si>
    <t>Potato Chips (lighty salted)</t>
  </si>
  <si>
    <t>SYS</t>
  </si>
  <si>
    <t>DIA</t>
  </si>
  <si>
    <t>Pulse</t>
  </si>
  <si>
    <t>1/16</t>
  </si>
  <si>
    <t>Fudge Brownie (Betty Crocker)</t>
  </si>
  <si>
    <t>MED</t>
  </si>
  <si>
    <t>Weight</t>
  </si>
  <si>
    <t>Snack 2</t>
  </si>
  <si>
    <t>Snack 1</t>
  </si>
  <si>
    <t>Snack 3</t>
  </si>
  <si>
    <t>Large</t>
  </si>
  <si>
    <t>1 large</t>
  </si>
  <si>
    <t>Egg White</t>
  </si>
  <si>
    <t>Chicken Noodle 2 Thighs</t>
  </si>
  <si>
    <t>Chicken Noodle 2lb Breast</t>
  </si>
  <si>
    <t>Pear</t>
  </si>
  <si>
    <t>January</t>
  </si>
  <si>
    <t>cup</t>
  </si>
  <si>
    <t>Carbohydrates g</t>
  </si>
  <si>
    <t>Butter (Country Crock)</t>
  </si>
  <si>
    <t>Bread (Sunbeam Old Fashion)</t>
  </si>
  <si>
    <t>Marshmallow Mateys</t>
  </si>
  <si>
    <t>Berry Colossal Crunch</t>
  </si>
  <si>
    <t>Carbs</t>
  </si>
  <si>
    <t>1/3 cup</t>
  </si>
  <si>
    <t>Mashed Potatoes (Idaho)</t>
  </si>
  <si>
    <t>Bread Pudding w/ Caramel</t>
  </si>
  <si>
    <t>Cinnamon Rolls w/icing (large)</t>
  </si>
  <si>
    <t>Cheez Whiz</t>
  </si>
  <si>
    <t>weight</t>
  </si>
  <si>
    <t>Berry Colossal Crunch Marshmallow</t>
  </si>
  <si>
    <t>Ham Hormel Black Label</t>
  </si>
  <si>
    <t>1 can</t>
  </si>
  <si>
    <t>Vienna Sausage</t>
  </si>
  <si>
    <t>February</t>
  </si>
  <si>
    <t>March</t>
  </si>
  <si>
    <t>April</t>
  </si>
  <si>
    <t>May</t>
  </si>
  <si>
    <t>June</t>
  </si>
  <si>
    <t>Zingers</t>
  </si>
  <si>
    <t>Protein % of Cholesterol</t>
  </si>
  <si>
    <t>113 oz.</t>
  </si>
  <si>
    <t>Mac &amp; Powder Cheese (Kraft)</t>
  </si>
  <si>
    <t>Chicken Salad</t>
  </si>
  <si>
    <t>Protein %</t>
  </si>
  <si>
    <t>July</t>
  </si>
  <si>
    <t>August</t>
  </si>
  <si>
    <t>September</t>
  </si>
  <si>
    <t>October</t>
  </si>
  <si>
    <t>November</t>
  </si>
  <si>
    <t>December</t>
  </si>
  <si>
    <t>Day</t>
  </si>
  <si>
    <t>Tue</t>
  </si>
  <si>
    <t>Wed</t>
  </si>
  <si>
    <t>Thu</t>
  </si>
  <si>
    <t>Fri</t>
  </si>
  <si>
    <t>Sat</t>
  </si>
  <si>
    <t>Sun</t>
  </si>
  <si>
    <t>Mon</t>
  </si>
  <si>
    <t>Root Beer</t>
  </si>
  <si>
    <t>leg</t>
  </si>
  <si>
    <t>Chicken Leg (fried)</t>
  </si>
  <si>
    <t>Velveeta Cheesy Potatoes</t>
  </si>
  <si>
    <t>Orange Juice</t>
  </si>
  <si>
    <t>Corned Beef Hash</t>
  </si>
  <si>
    <t>1/2 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</si>
</sst>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[$-409]mmmm\ d\,\ yyyy;@"/>
    <numFmt numFmtId="165" formatCode="#"/>
    <numFmt numFmtId="166" formatCode="0.0%"/>
    <numFmt numFmtId="167" formatCode="mm/dd/yy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7" tint="0.79998168889431442"/>
      <name val="Arial"/>
      <family val="2"/>
    </font>
    <font>
      <sz val="11"/>
      <color theme="1"/>
      <name val="Arial Black"/>
      <family val="2"/>
    </font>
    <font>
      <sz val="11"/>
      <name val="Arial Black"/>
      <family val="2"/>
    </font>
    <font>
      <b/>
      <sz val="11"/>
      <color theme="1"/>
      <name val="Arial Black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0" tint="-4.9989318521683403E-2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"/>
      <family val="2"/>
    </font>
    <font>
      <sz val="12"/>
      <color theme="1"/>
      <name val="Arial"/>
    </font>
    <font>
      <sz val="12"/>
      <name val="Arial"/>
      <family val="2"/>
    </font>
    <font>
      <b/>
      <sz val="12"/>
      <color rgb="FFFFC000"/>
      <name val="Arial"/>
      <family val="2"/>
    </font>
    <font>
      <sz val="11"/>
      <name val="Calibri"/>
      <family val="2"/>
      <scheme val="minor"/>
    </font>
    <font>
      <b/>
      <sz val="12"/>
      <color rgb="FFFFFF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1953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503B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/>
      <diagonal/>
    </border>
    <border>
      <left style="thin">
        <color theme="4" tint="-0.249977111117893"/>
      </left>
      <right style="medium">
        <color theme="4" tint="-0.249977111117893"/>
      </right>
      <top/>
      <bottom/>
      <diagonal/>
    </border>
    <border>
      <left/>
      <right/>
      <top style="medium">
        <color theme="4" tint="-0.249977111117893"/>
      </top>
      <bottom/>
      <diagonal/>
    </border>
    <border>
      <left style="medium">
        <color theme="4" tint="-0.249977111117893"/>
      </left>
      <right style="medium">
        <color theme="8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8" tint="-0.249977111117893"/>
      </right>
      <top style="medium">
        <color theme="4" tint="-0.249977111117893"/>
      </top>
      <bottom/>
      <diagonal/>
    </border>
    <border>
      <left/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medium">
        <color theme="4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 style="medium">
        <color theme="8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8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/>
      <top/>
      <bottom/>
      <diagonal/>
    </border>
    <border>
      <left style="medium">
        <color theme="8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4" tint="-0.249977111117893"/>
      </top>
      <bottom/>
      <diagonal/>
    </border>
    <border>
      <left/>
      <right/>
      <top/>
      <bottom style="thin">
        <color theme="8" tint="0.39997558519241921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/>
      <right style="medium">
        <color theme="8" tint="-0.249977111117893"/>
      </right>
      <top style="thin">
        <color theme="3" tint="-0.249977111117893"/>
      </top>
      <bottom/>
      <diagonal/>
    </border>
    <border>
      <left/>
      <right style="medium">
        <color theme="4" tint="-0.249977111117893"/>
      </right>
      <top/>
      <bottom style="medium">
        <color theme="8" tint="-0.249977111117893"/>
      </bottom>
      <diagonal/>
    </border>
    <border>
      <left style="medium">
        <color theme="4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5999938962981048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3" borderId="0" xfId="0" applyFill="1" applyBorder="1"/>
    <xf numFmtId="1" fontId="1" fillId="0" borderId="0" xfId="0" applyNumberFormat="1" applyFont="1"/>
    <xf numFmtId="165" fontId="1" fillId="0" borderId="0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7" fillId="12" borderId="0" xfId="0" applyFont="1" applyFill="1"/>
    <xf numFmtId="0" fontId="8" fillId="12" borderId="0" xfId="0" applyFont="1" applyFill="1"/>
    <xf numFmtId="164" fontId="9" fillId="13" borderId="0" xfId="0" applyNumberFormat="1" applyFont="1" applyFill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4" fontId="0" fillId="0" borderId="5" xfId="0" applyNumberForma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1" fillId="4" borderId="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5" fillId="3" borderId="1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0" fillId="3" borderId="22" xfId="0" applyFill="1" applyBorder="1"/>
    <xf numFmtId="0" fontId="0" fillId="3" borderId="21" xfId="0" applyFill="1" applyBorder="1"/>
    <xf numFmtId="0" fontId="2" fillId="2" borderId="24" xfId="0" applyFont="1" applyFill="1" applyBorder="1"/>
    <xf numFmtId="0" fontId="4" fillId="2" borderId="16" xfId="0" applyFont="1" applyFill="1" applyBorder="1" applyAlignment="1">
      <alignment horizontal="left" textRotation="90" wrapText="1"/>
    </xf>
    <xf numFmtId="0" fontId="2" fillId="2" borderId="16" xfId="0" applyFont="1" applyFill="1" applyBorder="1" applyAlignment="1">
      <alignment horizontal="left" textRotation="90"/>
    </xf>
    <xf numFmtId="0" fontId="2" fillId="2" borderId="25" xfId="0" applyFont="1" applyFill="1" applyBorder="1" applyAlignment="1">
      <alignment horizontal="left" textRotation="90"/>
    </xf>
    <xf numFmtId="0" fontId="2" fillId="2" borderId="11" xfId="0" applyFont="1" applyFill="1" applyBorder="1" applyAlignment="1">
      <alignment horizontal="left" textRotation="90"/>
    </xf>
    <xf numFmtId="0" fontId="2" fillId="2" borderId="15" xfId="0" applyFont="1" applyFill="1" applyBorder="1" applyAlignment="1">
      <alignment horizontal="left" textRotation="90"/>
    </xf>
    <xf numFmtId="165" fontId="1" fillId="0" borderId="6" xfId="0" applyNumberFormat="1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165" fontId="14" fillId="0" borderId="4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/>
    </xf>
    <xf numFmtId="0" fontId="10" fillId="0" borderId="18" xfId="0" applyFont="1" applyBorder="1"/>
    <xf numFmtId="0" fontId="2" fillId="3" borderId="18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2" fillId="3" borderId="2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8" xfId="0" applyFont="1" applyFill="1" applyBorder="1" applyAlignment="1">
      <alignment vertical="center" textRotation="90"/>
    </xf>
    <xf numFmtId="0" fontId="2" fillId="4" borderId="0" xfId="0" applyFont="1" applyFill="1" applyBorder="1" applyAlignment="1">
      <alignment vertical="center" textRotation="90"/>
    </xf>
    <xf numFmtId="0" fontId="2" fillId="0" borderId="0" xfId="0" applyFont="1" applyAlignment="1">
      <alignment textRotation="90" wrapText="1"/>
    </xf>
    <xf numFmtId="0" fontId="0" fillId="0" borderId="0" xfId="0" applyAlignment="1">
      <alignment horizontal="center"/>
    </xf>
    <xf numFmtId="0" fontId="8" fillId="12" borderId="0" xfId="0" applyFont="1" applyFill="1" applyAlignment="1">
      <alignment horizontal="center"/>
    </xf>
    <xf numFmtId="0" fontId="16" fillId="12" borderId="0" xfId="0" applyFont="1" applyFill="1" applyAlignment="1">
      <alignment horizontal="center"/>
    </xf>
    <xf numFmtId="1" fontId="9" fillId="13" borderId="0" xfId="0" applyNumberFormat="1" applyFont="1" applyFill="1" applyAlignment="1">
      <alignment horizontal="center"/>
    </xf>
    <xf numFmtId="0" fontId="2" fillId="3" borderId="22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165" fontId="17" fillId="0" borderId="7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165" fontId="17" fillId="0" borderId="4" xfId="0" applyNumberFormat="1" applyFont="1" applyFill="1" applyBorder="1" applyAlignment="1">
      <alignment horizontal="center" vertical="center"/>
    </xf>
    <xf numFmtId="0" fontId="18" fillId="16" borderId="26" xfId="0" applyFont="1" applyFill="1" applyBorder="1" applyAlignment="1">
      <alignment horizontal="center"/>
    </xf>
    <xf numFmtId="0" fontId="18" fillId="16" borderId="27" xfId="0" applyFont="1" applyFill="1" applyBorder="1" applyAlignment="1">
      <alignment horizontal="center"/>
    </xf>
    <xf numFmtId="0" fontId="18" fillId="16" borderId="28" xfId="0" applyFont="1" applyFill="1" applyBorder="1" applyAlignment="1">
      <alignment horizontal="center"/>
    </xf>
    <xf numFmtId="0" fontId="18" fillId="6" borderId="26" xfId="0" applyFont="1" applyFill="1" applyBorder="1" applyAlignment="1">
      <alignment horizontal="center"/>
    </xf>
    <xf numFmtId="0" fontId="18" fillId="6" borderId="29" xfId="0" applyFont="1" applyFill="1" applyBorder="1" applyAlignment="1">
      <alignment horizontal="center"/>
    </xf>
    <xf numFmtId="0" fontId="0" fillId="17" borderId="26" xfId="0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0" fontId="18" fillId="6" borderId="32" xfId="0" applyFont="1" applyFill="1" applyBorder="1" applyAlignment="1">
      <alignment horizontal="center"/>
    </xf>
    <xf numFmtId="0" fontId="0" fillId="17" borderId="33" xfId="0" applyFill="1" applyBorder="1" applyAlignment="1">
      <alignment horizontal="center"/>
    </xf>
    <xf numFmtId="0" fontId="19" fillId="15" borderId="31" xfId="0" applyFont="1" applyFill="1" applyBorder="1" applyAlignment="1">
      <alignment horizontal="center"/>
    </xf>
    <xf numFmtId="0" fontId="20" fillId="15" borderId="31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/>
    </xf>
    <xf numFmtId="0" fontId="1" fillId="15" borderId="31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165" fontId="1" fillId="0" borderId="17" xfId="0" applyNumberFormat="1" applyFont="1" applyFill="1" applyBorder="1" applyAlignment="1">
      <alignment horizontal="center" vertical="center"/>
    </xf>
    <xf numFmtId="0" fontId="0" fillId="0" borderId="0" xfId="0" applyFont="1"/>
    <xf numFmtId="165" fontId="14" fillId="0" borderId="5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5" fontId="2" fillId="3" borderId="17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22" fillId="0" borderId="5" xfId="0" applyFont="1" applyFill="1" applyBorder="1" applyAlignment="1">
      <alignment horizontal="center" vertical="center"/>
    </xf>
    <xf numFmtId="0" fontId="23" fillId="0" borderId="0" xfId="0" applyFont="1" applyFill="1"/>
    <xf numFmtId="0" fontId="25" fillId="0" borderId="0" xfId="0" applyFont="1" applyFill="1"/>
    <xf numFmtId="0" fontId="4" fillId="0" borderId="0" xfId="0" applyFont="1" applyAlignment="1">
      <alignment wrapText="1"/>
    </xf>
    <xf numFmtId="0" fontId="1" fillId="0" borderId="7" xfId="0" applyNumberFormat="1" applyFont="1" applyFill="1" applyBorder="1" applyAlignment="1">
      <alignment horizontal="center" vertical="center"/>
    </xf>
    <xf numFmtId="166" fontId="9" fillId="13" borderId="0" xfId="0" applyNumberFormat="1" applyFont="1" applyFill="1" applyAlignment="1">
      <alignment horizontal="center"/>
    </xf>
    <xf numFmtId="166" fontId="4" fillId="0" borderId="0" xfId="0" applyNumberFormat="1" applyFont="1"/>
    <xf numFmtId="164" fontId="24" fillId="14" borderId="2" xfId="0" applyNumberFormat="1" applyFont="1" applyFill="1" applyBorder="1" applyAlignment="1">
      <alignment horizontal="center" vertical="center"/>
    </xf>
    <xf numFmtId="1" fontId="24" fillId="14" borderId="2" xfId="0" applyNumberFormat="1" applyFont="1" applyFill="1" applyBorder="1" applyAlignment="1">
      <alignment horizontal="center"/>
    </xf>
    <xf numFmtId="167" fontId="1" fillId="0" borderId="0" xfId="0" applyNumberFormat="1" applyFont="1" applyAlignment="1">
      <alignment horizontal="right" vertical="center"/>
    </xf>
    <xf numFmtId="0" fontId="26" fillId="18" borderId="0" xfId="0" applyFont="1" applyFill="1"/>
    <xf numFmtId="0" fontId="3" fillId="0" borderId="0" xfId="0" applyFont="1" applyAlignment="1">
      <alignment vertical="center" wrapText="1"/>
    </xf>
    <xf numFmtId="165" fontId="22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29">
    <dxf>
      <border outline="0">
        <right style="medium">
          <color theme="8" tint="-0.249977111117893"/>
        </right>
        <top style="medium">
          <color theme="8" tint="-0.249977111117893"/>
        </top>
      </border>
    </dxf>
    <dxf>
      <border outline="0">
        <bottom style="medium">
          <color theme="8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4" tint="-0.249977111117893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-0.249977111117893"/>
        </left>
        <right style="medium">
          <color theme="4" tint="-0.24997711111789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4" tint="-0.249977111117893"/>
        </left>
        <right style="medium">
          <color theme="4" tint="-0.24997711111789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-0.249977111117893"/>
        </left>
        <right style="medium">
          <color theme="4" tint="-0.24997711111789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-0.249977111117893"/>
        </left>
        <right style="medium">
          <color theme="4" tint="-0.249977111117893"/>
        </right>
        <top/>
        <bottom/>
        <vertical/>
        <horizontal/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4" tint="-0.24997711111789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4" tint="-0.249977111117893"/>
        </right>
        <top/>
        <bottom/>
        <vertical/>
        <horizontal/>
      </border>
    </dxf>
    <dxf>
      <border diagonalUp="0" diagonalDown="0">
        <left style="medium">
          <color theme="8" tint="-0.249977111117893"/>
        </left>
        <right style="medium">
          <color theme="8" tint="-0.249977111117893"/>
        </right>
        <top style="medium">
          <color theme="8" tint="-0.249977111117893"/>
        </top>
        <bottom style="medium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theme="8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9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color theme="1"/>
      </font>
      <fill>
        <patternFill>
          <bgColor rgb="FFFF0000"/>
        </patternFill>
      </fill>
    </dxf>
    <dxf>
      <font>
        <b val="0"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theme="1"/>
      </font>
      <fill>
        <patternFill>
          <bgColor rgb="FF92D05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theme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6C12"/>
      <color rgb="FF004C0D"/>
      <color rgb="FF52B648"/>
      <color rgb="FF002606"/>
      <color rgb="FFA20000"/>
      <color rgb="FF00921F"/>
      <color rgb="FFF88D34"/>
      <color rgb="FFEAC77A"/>
      <color rgb="FFFFEEB7"/>
      <color rgb="FF5B3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9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8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FF00"/>
                </a:solidFill>
              </a:rPr>
              <a:t>Calories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'March 2016'!$C$4</c:f>
              <c:strCache>
                <c:ptCount val="1"/>
                <c:pt idx="0">
                  <c:v>Calories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'March 2016'!$C$5:$C$35</c:f>
              <c:numCache>
                <c:formatCode>0</c:formatCode>
                <c:ptCount val="31"/>
                <c:pt idx="0">
                  <c:v>1330.8690680555555</c:v>
                </c:pt>
                <c:pt idx="1">
                  <c:v>1607.6745388888889</c:v>
                </c:pt>
                <c:pt idx="2">
                  <c:v>1141.320809248555</c:v>
                </c:pt>
                <c:pt idx="3">
                  <c:v>2345.25</c:v>
                </c:pt>
                <c:pt idx="4">
                  <c:v>1387.7456647398844</c:v>
                </c:pt>
                <c:pt idx="5">
                  <c:v>906.38</c:v>
                </c:pt>
                <c:pt idx="6">
                  <c:v>1492.2515000000001</c:v>
                </c:pt>
                <c:pt idx="7">
                  <c:v>1335.6745388888889</c:v>
                </c:pt>
                <c:pt idx="8">
                  <c:v>1835.028901734104</c:v>
                </c:pt>
                <c:pt idx="9">
                  <c:v>856.52650684007676</c:v>
                </c:pt>
                <c:pt idx="10">
                  <c:v>843.27270947692318</c:v>
                </c:pt>
                <c:pt idx="11">
                  <c:v>839.21785762863499</c:v>
                </c:pt>
                <c:pt idx="12">
                  <c:v>1091.117857628635</c:v>
                </c:pt>
                <c:pt idx="13">
                  <c:v>1573.1612026396447</c:v>
                </c:pt>
                <c:pt idx="14">
                  <c:v>1162.790111963895</c:v>
                </c:pt>
                <c:pt idx="15">
                  <c:v>780.52263688254345</c:v>
                </c:pt>
                <c:pt idx="16">
                  <c:v>1001.1028901734104</c:v>
                </c:pt>
                <c:pt idx="17">
                  <c:v>999.47940751445094</c:v>
                </c:pt>
                <c:pt idx="18">
                  <c:v>774.48554913294799</c:v>
                </c:pt>
                <c:pt idx="19">
                  <c:v>776.6</c:v>
                </c:pt>
                <c:pt idx="20">
                  <c:v>1274.8894508670521</c:v>
                </c:pt>
                <c:pt idx="21">
                  <c:v>1464</c:v>
                </c:pt>
                <c:pt idx="22">
                  <c:v>937.65281791907512</c:v>
                </c:pt>
                <c:pt idx="23">
                  <c:v>1369.9767011834319</c:v>
                </c:pt>
                <c:pt idx="24">
                  <c:v>2080.4335260115604</c:v>
                </c:pt>
                <c:pt idx="25">
                  <c:v>1676.6642011834319</c:v>
                </c:pt>
                <c:pt idx="26">
                  <c:v>1275.0881502890174</c:v>
                </c:pt>
                <c:pt idx="27">
                  <c:v>2585.25</c:v>
                </c:pt>
                <c:pt idx="28">
                  <c:v>1257.8214285714284</c:v>
                </c:pt>
                <c:pt idx="29">
                  <c:v>1365.6</c:v>
                </c:pt>
                <c:pt idx="30">
                  <c:v>1047.3063583815028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06-402C-A566-F479DAB65F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37321856"/>
        <c:axId val="138295552"/>
      </c:barChart>
      <c:catAx>
        <c:axId val="137321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rgbClr val="FFFF00">
                <a:alpha val="9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95552"/>
        <c:crosses val="autoZero"/>
        <c:auto val="1"/>
        <c:lblAlgn val="ctr"/>
        <c:lblOffset val="100"/>
        <c:noMultiLvlLbl val="0"/>
      </c:catAx>
      <c:valAx>
        <c:axId val="1382955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FFFF00">
                  <a:alpha val="30000"/>
                </a:srgb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rgbClr val="FFFF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732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>
      <a:blip xmlns:r="http://schemas.openxmlformats.org/officeDocument/2006/relationships" r:embed="rId1"/>
      <a:stretch>
        <a:fillRect/>
      </a:stretch>
    </a:blip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chemeClr val="dk1"/>
          </a:solidFill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FF00"/>
                </a:solidFill>
              </a:rPr>
              <a:t>Cholesterol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'March 2016'!$D$4</c:f>
              <c:strCache>
                <c:ptCount val="1"/>
                <c:pt idx="0">
                  <c:v>Cholesterol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'March 2016'!$D$5:$D$35</c:f>
              <c:numCache>
                <c:formatCode>0</c:formatCode>
                <c:ptCount val="31"/>
                <c:pt idx="0">
                  <c:v>121.640625</c:v>
                </c:pt>
                <c:pt idx="1">
                  <c:v>92.5</c:v>
                </c:pt>
                <c:pt idx="2">
                  <c:v>62.5</c:v>
                </c:pt>
                <c:pt idx="3">
                  <c:v>253</c:v>
                </c:pt>
                <c:pt idx="4">
                  <c:v>136</c:v>
                </c:pt>
                <c:pt idx="5">
                  <c:v>72.83</c:v>
                </c:pt>
                <c:pt idx="6">
                  <c:v>98.6875</c:v>
                </c:pt>
                <c:pt idx="7">
                  <c:v>130</c:v>
                </c:pt>
                <c:pt idx="8">
                  <c:v>186.25</c:v>
                </c:pt>
                <c:pt idx="9">
                  <c:v>65</c:v>
                </c:pt>
                <c:pt idx="10">
                  <c:v>60.176020623077598</c:v>
                </c:pt>
                <c:pt idx="11">
                  <c:v>90.088010311538795</c:v>
                </c:pt>
                <c:pt idx="12">
                  <c:v>101.5880103115388</c:v>
                </c:pt>
                <c:pt idx="13">
                  <c:v>62.989246918681701</c:v>
                </c:pt>
                <c:pt idx="14">
                  <c:v>126.3380103115388</c:v>
                </c:pt>
                <c:pt idx="15">
                  <c:v>44.114413405000441</c:v>
                </c:pt>
                <c:pt idx="16">
                  <c:v>65</c:v>
                </c:pt>
                <c:pt idx="17">
                  <c:v>50</c:v>
                </c:pt>
                <c:pt idx="18">
                  <c:v>90</c:v>
                </c:pt>
                <c:pt idx="19">
                  <c:v>17.5</c:v>
                </c:pt>
                <c:pt idx="20">
                  <c:v>88.5</c:v>
                </c:pt>
                <c:pt idx="21">
                  <c:v>230</c:v>
                </c:pt>
                <c:pt idx="22">
                  <c:v>10</c:v>
                </c:pt>
                <c:pt idx="23">
                  <c:v>95.9375</c:v>
                </c:pt>
                <c:pt idx="24">
                  <c:v>199.5</c:v>
                </c:pt>
                <c:pt idx="25">
                  <c:v>210</c:v>
                </c:pt>
                <c:pt idx="26">
                  <c:v>0</c:v>
                </c:pt>
                <c:pt idx="27">
                  <c:v>105</c:v>
                </c:pt>
                <c:pt idx="28">
                  <c:v>95</c:v>
                </c:pt>
                <c:pt idx="29">
                  <c:v>0</c:v>
                </c:pt>
                <c:pt idx="30">
                  <c:v>97.5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08-4777-B0FE-84809C80FE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38217344"/>
        <c:axId val="138224384"/>
      </c:barChart>
      <c:catAx>
        <c:axId val="138217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FFFF00">
                <a:alpha val="9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24384"/>
        <c:crosses val="autoZero"/>
        <c:auto val="1"/>
        <c:lblAlgn val="ctr"/>
        <c:lblOffset val="100"/>
        <c:noMultiLvlLbl val="0"/>
      </c:catAx>
      <c:valAx>
        <c:axId val="1382243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FFFF00">
                  <a:alpha val="30000"/>
                </a:srgb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rgbClr val="FFFF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821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rgbClr val="00921F"/>
        </a:gs>
        <a:gs pos="100000">
          <a:schemeClr val="tx1">
            <a:lumMod val="95000"/>
            <a:lumOff val="5000"/>
          </a:schemeClr>
        </a:gs>
        <a:gs pos="41000">
          <a:srgbClr val="004C0D"/>
        </a:gs>
      </a:gsLst>
      <a:lin ang="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 prstMaterial="matte">
      <a:bevelT/>
    </a:sp3d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FF00"/>
                </a:solidFill>
              </a:rPr>
              <a:t>Sodium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'March 2016'!$E$4</c:f>
              <c:strCache>
                <c:ptCount val="1"/>
                <c:pt idx="0">
                  <c:v>Sodium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'March 2016'!$E$5:$E$35</c:f>
              <c:numCache>
                <c:formatCode>0</c:formatCode>
                <c:ptCount val="31"/>
                <c:pt idx="0">
                  <c:v>1727.5485625000001</c:v>
                </c:pt>
                <c:pt idx="1">
                  <c:v>1735</c:v>
                </c:pt>
                <c:pt idx="2">
                  <c:v>1713.9205202312139</c:v>
                </c:pt>
                <c:pt idx="3">
                  <c:v>6362.25</c:v>
                </c:pt>
                <c:pt idx="4">
                  <c:v>2480.6936416184972</c:v>
                </c:pt>
                <c:pt idx="5">
                  <c:v>1028.4099999999999</c:v>
                </c:pt>
                <c:pt idx="6">
                  <c:v>1254.06475</c:v>
                </c:pt>
                <c:pt idx="7">
                  <c:v>2864.5</c:v>
                </c:pt>
                <c:pt idx="8">
                  <c:v>3472.8757225433528</c:v>
                </c:pt>
                <c:pt idx="9">
                  <c:v>1120.5375722543399</c:v>
                </c:pt>
                <c:pt idx="10">
                  <c:v>825.91000806967736</c:v>
                </c:pt>
                <c:pt idx="11">
                  <c:v>1361.414541607093</c:v>
                </c:pt>
                <c:pt idx="12">
                  <c:v>2651.9145416070933</c:v>
                </c:pt>
                <c:pt idx="13">
                  <c:v>1040.2366207978444</c:v>
                </c:pt>
                <c:pt idx="14">
                  <c:v>1614.3538479654744</c:v>
                </c:pt>
                <c:pt idx="15">
                  <c:v>357.93138963835389</c:v>
                </c:pt>
                <c:pt idx="16">
                  <c:v>1478.0375722543354</c:v>
                </c:pt>
                <c:pt idx="17">
                  <c:v>620.60729768786132</c:v>
                </c:pt>
                <c:pt idx="18">
                  <c:v>1776.3121387283236</c:v>
                </c:pt>
                <c:pt idx="19">
                  <c:v>423.5</c:v>
                </c:pt>
                <c:pt idx="20">
                  <c:v>1858.8128612716764</c:v>
                </c:pt>
                <c:pt idx="21">
                  <c:v>1779</c:v>
                </c:pt>
                <c:pt idx="22">
                  <c:v>1700.8616329479769</c:v>
                </c:pt>
                <c:pt idx="23">
                  <c:v>1191.2818047337278</c:v>
                </c:pt>
                <c:pt idx="24">
                  <c:v>1838.1358381502889</c:v>
                </c:pt>
                <c:pt idx="25">
                  <c:v>1137.1318047337277</c:v>
                </c:pt>
                <c:pt idx="26">
                  <c:v>866.87095375722549</c:v>
                </c:pt>
                <c:pt idx="27">
                  <c:v>4446.4750000000004</c:v>
                </c:pt>
                <c:pt idx="28">
                  <c:v>1901.647932330827</c:v>
                </c:pt>
                <c:pt idx="29">
                  <c:v>949</c:v>
                </c:pt>
                <c:pt idx="30">
                  <c:v>1298.4826589595375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18-4F25-A28B-625A53C4BB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38023296"/>
        <c:axId val="138025984"/>
      </c:barChart>
      <c:catAx>
        <c:axId val="138023296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19050" cap="flat" cmpd="sng" algn="ctr">
            <a:solidFill>
              <a:srgbClr val="FFFF00">
                <a:alpha val="9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25984"/>
        <c:crosses val="autoZero"/>
        <c:auto val="1"/>
        <c:lblAlgn val="ctr"/>
        <c:lblOffset val="100"/>
        <c:noMultiLvlLbl val="0"/>
      </c:catAx>
      <c:valAx>
        <c:axId val="1380259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FFFF00">
                  <a:alpha val="30000"/>
                </a:srgb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rgbClr val="FFFF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802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rgbClr val="00921F"/>
        </a:gs>
        <a:gs pos="100000">
          <a:schemeClr val="tx1">
            <a:lumMod val="95000"/>
            <a:lumOff val="5000"/>
          </a:schemeClr>
        </a:gs>
        <a:gs pos="41000">
          <a:srgbClr val="004C0D"/>
        </a:gs>
      </a:gsLst>
      <a:lin ang="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FF00"/>
                </a:solidFill>
              </a:rPr>
              <a:t>Potassium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'March 2016'!$F$4</c:f>
              <c:strCache>
                <c:ptCount val="1"/>
                <c:pt idx="0">
                  <c:v>Potassium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'March 2016'!$F$5:$F$35</c:f>
              <c:numCache>
                <c:formatCode>0</c:formatCode>
                <c:ptCount val="31"/>
                <c:pt idx="0">
                  <c:v>1259.0338281249999</c:v>
                </c:pt>
                <c:pt idx="1">
                  <c:v>1530.6249874999999</c:v>
                </c:pt>
                <c:pt idx="2">
                  <c:v>3101.4942196531792</c:v>
                </c:pt>
                <c:pt idx="3">
                  <c:v>2637.5</c:v>
                </c:pt>
                <c:pt idx="4">
                  <c:v>2091.9595375722547</c:v>
                </c:pt>
                <c:pt idx="5">
                  <c:v>1077.07</c:v>
                </c:pt>
                <c:pt idx="6">
                  <c:v>1552.5868</c:v>
                </c:pt>
                <c:pt idx="7">
                  <c:v>1133.1249874999999</c:v>
                </c:pt>
                <c:pt idx="8">
                  <c:v>2366.9364161849712</c:v>
                </c:pt>
                <c:pt idx="9">
                  <c:v>1508.0686041184972</c:v>
                </c:pt>
                <c:pt idx="10">
                  <c:v>1505.8428996130651</c:v>
                </c:pt>
                <c:pt idx="11">
                  <c:v>611.08214344815099</c:v>
                </c:pt>
                <c:pt idx="12">
                  <c:v>1913.2821434481509</c:v>
                </c:pt>
                <c:pt idx="13">
                  <c:v>2423.4023746620242</c:v>
                </c:pt>
                <c:pt idx="14">
                  <c:v>1664.4231839105787</c:v>
                </c:pt>
                <c:pt idx="15">
                  <c:v>2376.9880581588968</c:v>
                </c:pt>
                <c:pt idx="16">
                  <c:v>1601.4936416184971</c:v>
                </c:pt>
                <c:pt idx="17">
                  <c:v>2175.432803468208</c:v>
                </c:pt>
                <c:pt idx="18">
                  <c:v>948.5317919075145</c:v>
                </c:pt>
                <c:pt idx="19">
                  <c:v>657.3</c:v>
                </c:pt>
                <c:pt idx="20">
                  <c:v>2500.7182080924858</c:v>
                </c:pt>
                <c:pt idx="21">
                  <c:v>2410</c:v>
                </c:pt>
                <c:pt idx="22">
                  <c:v>2273.0513005780349</c:v>
                </c:pt>
                <c:pt idx="23">
                  <c:v>1250.75</c:v>
                </c:pt>
                <c:pt idx="24">
                  <c:v>2393.5462427745665</c:v>
                </c:pt>
                <c:pt idx="25">
                  <c:v>1484</c:v>
                </c:pt>
                <c:pt idx="26">
                  <c:v>2055.1560693641622</c:v>
                </c:pt>
                <c:pt idx="27">
                  <c:v>3696</c:v>
                </c:pt>
                <c:pt idx="28">
                  <c:v>2580.8421052631579</c:v>
                </c:pt>
                <c:pt idx="29">
                  <c:v>2104.8000000000002</c:v>
                </c:pt>
                <c:pt idx="30">
                  <c:v>1780.0260115606939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75-4D73-8D1A-AFD0175EAE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38054272"/>
        <c:axId val="138077696"/>
      </c:barChart>
      <c:catAx>
        <c:axId val="138054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rgbClr val="FFFF00">
                <a:alpha val="9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77696"/>
        <c:crosses val="autoZero"/>
        <c:auto val="1"/>
        <c:lblAlgn val="ctr"/>
        <c:lblOffset val="100"/>
        <c:noMultiLvlLbl val="0"/>
      </c:catAx>
      <c:valAx>
        <c:axId val="1380776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FFFF00">
                  <a:alpha val="30000"/>
                </a:srgb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rgbClr val="FFFF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805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rgbClr val="00BC28"/>
        </a:gs>
        <a:gs pos="100000">
          <a:schemeClr val="tx1">
            <a:lumMod val="95000"/>
            <a:lumOff val="5000"/>
          </a:schemeClr>
        </a:gs>
        <a:gs pos="40000">
          <a:srgbClr val="004C0D"/>
        </a:gs>
      </a:gsLst>
      <a:lin ang="108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FF00"/>
                </a:solidFill>
              </a:rPr>
              <a:t>Protein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'March 2016'!$H$4</c:f>
              <c:strCache>
                <c:ptCount val="1"/>
                <c:pt idx="0">
                  <c:v>Protein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'March 2016'!$H$5:$H$35</c:f>
              <c:numCache>
                <c:formatCode>0</c:formatCode>
                <c:ptCount val="31"/>
                <c:pt idx="0">
                  <c:v>31.303210625000002</c:v>
                </c:pt>
                <c:pt idx="1">
                  <c:v>23.767856071428572</c:v>
                </c:pt>
                <c:pt idx="2">
                  <c:v>33.822543352601159</c:v>
                </c:pt>
                <c:pt idx="3">
                  <c:v>84.325000000000003</c:v>
                </c:pt>
                <c:pt idx="4">
                  <c:v>68.257803468208095</c:v>
                </c:pt>
                <c:pt idx="5">
                  <c:v>26.43</c:v>
                </c:pt>
                <c:pt idx="6">
                  <c:v>56.445950000000003</c:v>
                </c:pt>
                <c:pt idx="7">
                  <c:v>43.267856071428568</c:v>
                </c:pt>
                <c:pt idx="8">
                  <c:v>64.197976878612707</c:v>
                </c:pt>
                <c:pt idx="9">
                  <c:v>29.998365902146986</c:v>
                </c:pt>
                <c:pt idx="10">
                  <c:v>26.030859421564156</c:v>
                </c:pt>
                <c:pt idx="11">
                  <c:v>29.62872450846994</c:v>
                </c:pt>
                <c:pt idx="12">
                  <c:v>38.928724508469941</c:v>
                </c:pt>
                <c:pt idx="13">
                  <c:v>34.811362774365897</c:v>
                </c:pt>
                <c:pt idx="14">
                  <c:v>37.048666705001736</c:v>
                </c:pt>
                <c:pt idx="15">
                  <c:v>17.238382323438667</c:v>
                </c:pt>
                <c:pt idx="16">
                  <c:v>27.394797687861271</c:v>
                </c:pt>
                <c:pt idx="17">
                  <c:v>20.474566473988439</c:v>
                </c:pt>
                <c:pt idx="18">
                  <c:v>27.126011560693641</c:v>
                </c:pt>
                <c:pt idx="19">
                  <c:v>7</c:v>
                </c:pt>
                <c:pt idx="20">
                  <c:v>50.873988439306359</c:v>
                </c:pt>
                <c:pt idx="21">
                  <c:v>80.7</c:v>
                </c:pt>
                <c:pt idx="22">
                  <c:v>30.262427745664741</c:v>
                </c:pt>
                <c:pt idx="23">
                  <c:v>39.324999999999996</c:v>
                </c:pt>
                <c:pt idx="24">
                  <c:v>63.71965317919075</c:v>
                </c:pt>
                <c:pt idx="25">
                  <c:v>68.3</c:v>
                </c:pt>
                <c:pt idx="26">
                  <c:v>32.991329479768787</c:v>
                </c:pt>
                <c:pt idx="27">
                  <c:v>71.3</c:v>
                </c:pt>
                <c:pt idx="28">
                  <c:v>31.478947368421053</c:v>
                </c:pt>
                <c:pt idx="29">
                  <c:v>14.6</c:v>
                </c:pt>
                <c:pt idx="30">
                  <c:v>30.048554913294797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54-4327-A6CB-62EE5563596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38617600"/>
        <c:axId val="138620288"/>
      </c:barChart>
      <c:catAx>
        <c:axId val="138617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FFFF00">
                <a:alpha val="88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620288"/>
        <c:crosses val="autoZero"/>
        <c:auto val="1"/>
        <c:lblAlgn val="ctr"/>
        <c:lblOffset val="100"/>
        <c:noMultiLvlLbl val="0"/>
      </c:catAx>
      <c:valAx>
        <c:axId val="138620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FFFF00">
                  <a:alpha val="30000"/>
                </a:srgb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FF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61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rgbClr val="00BC28"/>
        </a:gs>
        <a:gs pos="100000">
          <a:schemeClr val="tx1">
            <a:lumMod val="95000"/>
            <a:lumOff val="5000"/>
          </a:schemeClr>
        </a:gs>
        <a:gs pos="40000">
          <a:srgbClr val="004C0D"/>
        </a:gs>
      </a:gsLst>
      <a:lin ang="108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FF00"/>
                </a:solidFill>
              </a:rPr>
              <a:t>Protein Cholesterol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4"/>
            </a:solidFill>
            <a:effectLst>
              <a:outerShdw blurRad="50800" dist="38100" dir="5400000" algn="ctr" rotWithShape="0">
                <a:srgbClr val="000000">
                  <a:alpha val="40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 w="0" h="0"/>
            </a:sp3d>
          </c:spPr>
          <c:invertIfNegative val="0"/>
          <c:dLbls>
            <c:txPr>
              <a:bodyPr/>
              <a:lstStyle/>
              <a:p>
                <a:pPr>
                  <a:defRPr>
                    <a:latin typeface="Arial Black" panose="020B0A040201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'March 2016'!$M$5:$M$35</c:f>
              <c:numCache>
                <c:formatCode>0.0%</c:formatCode>
                <c:ptCount val="31"/>
                <c:pt idx="0">
                  <c:v>0.2573417443802184</c:v>
                </c:pt>
                <c:pt idx="1">
                  <c:v>0.25694979536679535</c:v>
                </c:pt>
                <c:pt idx="2">
                  <c:v>0.54116069364161856</c:v>
                </c:pt>
                <c:pt idx="3">
                  <c:v>0.33330039525691701</c:v>
                </c:pt>
                <c:pt idx="4">
                  <c:v>0.50189561373682423</c:v>
                </c:pt>
                <c:pt idx="5">
                  <c:v>0.36289990388576138</c:v>
                </c:pt>
                <c:pt idx="6">
                  <c:v>0.57196656111462962</c:v>
                </c:pt>
                <c:pt idx="7">
                  <c:v>0.33282966208791209</c:v>
                </c:pt>
                <c:pt idx="8">
                  <c:v>0.34468712418047093</c:v>
                </c:pt>
                <c:pt idx="9">
                  <c:v>0.46151332157149205</c:v>
                </c:pt>
                <c:pt idx="10">
                  <c:v>0.43257861108185808</c:v>
                </c:pt>
                <c:pt idx="11">
                  <c:v>0.32888643456558825</c:v>
                </c:pt>
                <c:pt idx="12">
                  <c:v>0.38320195847017446</c:v>
                </c:pt>
                <c:pt idx="13">
                  <c:v>0.55265564326093486</c:v>
                </c:pt>
                <c:pt idx="14">
                  <c:v>0.29325035762113777</c:v>
                </c:pt>
                <c:pt idx="15">
                  <c:v>0.3907653075918418</c:v>
                </c:pt>
                <c:pt idx="16">
                  <c:v>0.42145842596709643</c:v>
                </c:pt>
                <c:pt idx="17">
                  <c:v>0.4094913294797688</c:v>
                </c:pt>
                <c:pt idx="18">
                  <c:v>0.30140012845215153</c:v>
                </c:pt>
                <c:pt idx="19">
                  <c:v>0.4</c:v>
                </c:pt>
                <c:pt idx="20">
                  <c:v>0.57484732699781194</c:v>
                </c:pt>
                <c:pt idx="21">
                  <c:v>0.35086956521739132</c:v>
                </c:pt>
                <c:pt idx="22">
                  <c:v>3.0262427745664739</c:v>
                </c:pt>
                <c:pt idx="23">
                  <c:v>0.40990228013029312</c:v>
                </c:pt>
                <c:pt idx="24">
                  <c:v>0.31939675779042986</c:v>
                </c:pt>
                <c:pt idx="25">
                  <c:v>0.32523809523809516</c:v>
                </c:pt>
                <c:pt idx="26">
                  <c:v>0</c:v>
                </c:pt>
                <c:pt idx="27">
                  <c:v>0.67904761904761901</c:v>
                </c:pt>
                <c:pt idx="28">
                  <c:v>0.33135734072022166</c:v>
                </c:pt>
                <c:pt idx="29">
                  <c:v>0</c:v>
                </c:pt>
                <c:pt idx="30">
                  <c:v>0.30819030680302356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1"/>
        <c:axId val="138662272"/>
        <c:axId val="138664960"/>
      </c:barChart>
      <c:catAx>
        <c:axId val="138662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FFFF00">
                <a:alpha val="9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664960"/>
        <c:crosses val="autoZero"/>
        <c:auto val="1"/>
        <c:lblAlgn val="ctr"/>
        <c:lblOffset val="100"/>
        <c:noMultiLvlLbl val="0"/>
      </c:catAx>
      <c:valAx>
        <c:axId val="138664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FFFF00">
                  <a:alpha val="30000"/>
                </a:srgb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rgbClr val="FFFF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8662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rgbClr val="00921F"/>
        </a:gs>
        <a:gs pos="100000">
          <a:schemeClr val="tx1">
            <a:lumMod val="95000"/>
            <a:lumOff val="5000"/>
          </a:schemeClr>
        </a:gs>
        <a:gs pos="41000">
          <a:srgbClr val="004C0D"/>
        </a:gs>
      </a:gsLst>
      <a:lin ang="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 prstMaterial="matte">
      <a:bevelT/>
    </a:sp3d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FF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>
                <a:solidFill>
                  <a:srgbClr val="FFFF00"/>
                </a:solidFill>
                <a:latin typeface="Arial Black" panose="020B0A04020102020204" pitchFamily="34" charset="0"/>
              </a:rPr>
              <a:t>Weight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30"/>
      <c:rAngAx val="0"/>
      <c:perspective val="30"/>
    </c:view3D>
    <c:floor>
      <c:thickness val="0"/>
    </c:floor>
    <c:sideWall>
      <c:thickness val="0"/>
      <c:spPr>
        <a:noFill/>
        <a:ln w="0">
          <a:solidFill>
            <a:schemeClr val="accent1">
              <a:lumMod val="60000"/>
              <a:lumOff val="40000"/>
            </a:schemeClr>
          </a:solidFill>
        </a:ln>
        <a:effectLst/>
      </c:spPr>
    </c:sideWall>
    <c:backWall>
      <c:thickness val="0"/>
      <c:spPr>
        <a:noFill/>
        <a:ln w="0">
          <a:solidFill>
            <a:schemeClr val="accent1">
              <a:lumMod val="60000"/>
              <a:lumOff val="40000"/>
            </a:schemeClr>
          </a:solidFill>
        </a:ln>
        <a:effectLst/>
      </c:spPr>
    </c:backWall>
    <c:plotArea>
      <c:layout>
        <c:manualLayout>
          <c:layoutTarget val="inner"/>
          <c:xMode val="edge"/>
          <c:yMode val="edge"/>
          <c:x val="5.0090631999445814E-2"/>
          <c:y val="8.4973245566136724E-2"/>
          <c:w val="0.93378033574248964"/>
          <c:h val="0.88955245755939727"/>
        </c:manualLayout>
      </c:layout>
      <c:line3DChart>
        <c:grouping val="standard"/>
        <c:varyColors val="0"/>
        <c:ser>
          <c:idx val="1"/>
          <c:order val="0"/>
          <c:tx>
            <c:strRef>
              <c:f>'March 2016'!$L$4</c:f>
              <c:strCache>
                <c:ptCount val="1"/>
                <c:pt idx="0">
                  <c:v>Weight</c:v>
                </c:pt>
              </c:strCache>
            </c:strRef>
          </c:tx>
          <c:spPr>
            <a:solidFill>
              <a:schemeClr val="accent4"/>
            </a:solidFill>
            <a:effectLst>
              <a:outerShdw blurRad="50800" dist="50800" dir="5400000" algn="ctr" rotWithShape="0">
                <a:schemeClr val="tx1">
                  <a:alpha val="70000"/>
                </a:scheme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9"/>
            <c:bubble3D val="0"/>
            <c:spPr>
              <a:solidFill>
                <a:schemeClr val="accent4"/>
              </a:solidFill>
              <a:effectLst>
                <a:outerShdw blurRad="50800" dist="50800" dir="5400000" algn="ctr" rotWithShape="0">
                  <a:schemeClr val="tx1">
                    <a:alpha val="70000"/>
                  </a:schemeClr>
                </a:outerShdw>
                <a:softEdge rad="0"/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682-4800-9FD8-F08F8571B0D9}"/>
              </c:ext>
            </c:extLst>
          </c:dPt>
          <c:dPt>
            <c:idx val="20"/>
            <c:bubble3D val="0"/>
            <c:spPr>
              <a:solidFill>
                <a:schemeClr val="accent4"/>
              </a:solidFill>
              <a:effectLst>
                <a:outerShdw blurRad="50800" dist="50800" dir="5400000" algn="ctr" rotWithShape="0">
                  <a:schemeClr val="tx1">
                    <a:alpha val="70000"/>
                  </a:schemeClr>
                </a:outerShdw>
                <a:softEdge rad="0"/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682-4800-9FD8-F08F8571B0D9}"/>
              </c:ext>
            </c:extLst>
          </c:dPt>
          <c:dPt>
            <c:idx val="21"/>
            <c:bubble3D val="0"/>
            <c:spPr>
              <a:solidFill>
                <a:schemeClr val="accent4"/>
              </a:solidFill>
              <a:effectLst>
                <a:outerShdw blurRad="50800" dist="50800" dir="5400000" algn="ctr" rotWithShape="0">
                  <a:schemeClr val="tx1">
                    <a:alpha val="70000"/>
                  </a:schemeClr>
                </a:outerShdw>
                <a:softEdge rad="0"/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6682-4800-9FD8-F08F8571B0D9}"/>
              </c:ext>
            </c:extLst>
          </c:dPt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A9FE-4A50-9684-EE56DA02F6A2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'March 2016'!$L$5:$L$35</c:f>
              <c:numCache>
                <c:formatCode>General</c:formatCode>
                <c:ptCount val="31"/>
                <c:pt idx="0">
                  <c:v>221.6</c:v>
                </c:pt>
                <c:pt idx="1">
                  <c:v>220.2</c:v>
                </c:pt>
                <c:pt idx="2">
                  <c:v>220.4</c:v>
                </c:pt>
                <c:pt idx="3">
                  <c:v>219.8</c:v>
                </c:pt>
                <c:pt idx="4">
                  <c:v>221.4</c:v>
                </c:pt>
                <c:pt idx="5">
                  <c:v>219.8</c:v>
                </c:pt>
                <c:pt idx="6">
                  <c:v>221.8</c:v>
                </c:pt>
                <c:pt idx="7">
                  <c:v>221</c:v>
                </c:pt>
                <c:pt idx="8">
                  <c:v>222</c:v>
                </c:pt>
                <c:pt idx="9">
                  <c:v>220</c:v>
                </c:pt>
                <c:pt idx="10">
                  <c:v>219.4</c:v>
                </c:pt>
                <c:pt idx="11">
                  <c:v>219.6</c:v>
                </c:pt>
                <c:pt idx="12">
                  <c:v>218</c:v>
                </c:pt>
                <c:pt idx="13">
                  <c:v>216.8</c:v>
                </c:pt>
                <c:pt idx="14">
                  <c:v>219.8</c:v>
                </c:pt>
                <c:pt idx="15">
                  <c:v>218.8</c:v>
                </c:pt>
                <c:pt idx="16">
                  <c:v>216.4</c:v>
                </c:pt>
                <c:pt idx="17">
                  <c:v>216.6</c:v>
                </c:pt>
                <c:pt idx="18">
                  <c:v>216.4</c:v>
                </c:pt>
                <c:pt idx="19">
                  <c:v>219</c:v>
                </c:pt>
                <c:pt idx="20">
                  <c:v>218.2</c:v>
                </c:pt>
                <c:pt idx="21">
                  <c:v>217.8</c:v>
                </c:pt>
                <c:pt idx="22">
                  <c:v>218</c:v>
                </c:pt>
                <c:pt idx="23">
                  <c:v>217.2</c:v>
                </c:pt>
                <c:pt idx="24">
                  <c:v>217.6</c:v>
                </c:pt>
                <c:pt idx="25">
                  <c:v>218.8</c:v>
                </c:pt>
                <c:pt idx="26">
                  <c:v>219.4</c:v>
                </c:pt>
                <c:pt idx="27">
                  <c:v>218.6</c:v>
                </c:pt>
                <c:pt idx="28">
                  <c:v>221.8</c:v>
                </c:pt>
                <c:pt idx="29">
                  <c:v>219.2</c:v>
                </c:pt>
                <c:pt idx="30">
                  <c:v>219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82-4800-9FD8-F08F8571B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41952"/>
        <c:axId val="138943488"/>
        <c:axId val="138199040"/>
      </c:line3DChart>
      <c:catAx>
        <c:axId val="13894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0070C0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800" b="1" i="0" u="none" strike="noStrike" kern="1200" baseline="0">
                <a:solidFill>
                  <a:srgbClr val="FFFF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38943488"/>
        <c:crossesAt val="123"/>
        <c:auto val="1"/>
        <c:lblAlgn val="ctr"/>
        <c:lblOffset val="0"/>
        <c:noMultiLvlLbl val="1"/>
      </c:catAx>
      <c:valAx>
        <c:axId val="138943488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rgbClr val="FFFF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138941952"/>
        <c:crosses val="autoZero"/>
        <c:crossBetween val="between"/>
      </c:valAx>
      <c:serAx>
        <c:axId val="138199040"/>
        <c:scaling>
          <c:orientation val="maxMin"/>
        </c:scaling>
        <c:delete val="1"/>
        <c:axPos val="b"/>
        <c:majorTickMark val="out"/>
        <c:minorTickMark val="none"/>
        <c:tickLblPos val="nextTo"/>
        <c:crossAx val="138943488"/>
        <c:crosses val="autoZero"/>
      </c:serAx>
    </c:plotArea>
    <c:plotVisOnly val="1"/>
    <c:dispBlanksAs val="gap"/>
    <c:showDLblsOverMax val="0"/>
  </c:chart>
  <c:spPr>
    <a:gradFill>
      <a:gsLst>
        <a:gs pos="99000">
          <a:srgbClr val="00921F"/>
        </a:gs>
        <a:gs pos="2000">
          <a:schemeClr val="tx1">
            <a:lumMod val="95000"/>
            <a:lumOff val="5000"/>
          </a:schemeClr>
        </a:gs>
        <a:gs pos="53000">
          <a:srgbClr val="004C0D"/>
        </a:gs>
      </a:gsLst>
      <a:lin ang="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Blood Pressure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'March 2016'!$K$4</c:f>
              <c:strCache>
                <c:ptCount val="1"/>
                <c:pt idx="0">
                  <c:v>Pulse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ymbol val="none"/>
          </c:marker>
          <c:dLbls>
            <c:delete val="1"/>
          </c:dLbls>
          <c:val>
            <c:numRef>
              <c:f>'March 2016'!$K$5:$K$35</c:f>
              <c:numCache>
                <c:formatCode>General</c:formatCode>
                <c:ptCount val="31"/>
                <c:pt idx="0">
                  <c:v>107</c:v>
                </c:pt>
                <c:pt idx="1">
                  <c:v>91</c:v>
                </c:pt>
                <c:pt idx="2">
                  <c:v>113</c:v>
                </c:pt>
                <c:pt idx="3">
                  <c:v>90</c:v>
                </c:pt>
                <c:pt idx="4">
                  <c:v>89</c:v>
                </c:pt>
                <c:pt idx="5">
                  <c:v>80</c:v>
                </c:pt>
                <c:pt idx="6">
                  <c:v>76</c:v>
                </c:pt>
                <c:pt idx="7">
                  <c:v>82</c:v>
                </c:pt>
                <c:pt idx="8">
                  <c:v>76</c:v>
                </c:pt>
                <c:pt idx="9">
                  <c:v>80</c:v>
                </c:pt>
                <c:pt idx="10">
                  <c:v>74</c:v>
                </c:pt>
                <c:pt idx="11">
                  <c:v>74</c:v>
                </c:pt>
                <c:pt idx="12">
                  <c:v>85</c:v>
                </c:pt>
                <c:pt idx="13">
                  <c:v>90</c:v>
                </c:pt>
                <c:pt idx="14">
                  <c:v>82</c:v>
                </c:pt>
                <c:pt idx="15">
                  <c:v>83</c:v>
                </c:pt>
                <c:pt idx="16">
                  <c:v>83</c:v>
                </c:pt>
                <c:pt idx="17">
                  <c:v>85</c:v>
                </c:pt>
                <c:pt idx="18">
                  <c:v>76</c:v>
                </c:pt>
                <c:pt idx="19">
                  <c:v>79</c:v>
                </c:pt>
                <c:pt idx="20">
                  <c:v>72</c:v>
                </c:pt>
                <c:pt idx="21">
                  <c:v>84</c:v>
                </c:pt>
                <c:pt idx="22">
                  <c:v>83</c:v>
                </c:pt>
                <c:pt idx="23">
                  <c:v>86</c:v>
                </c:pt>
                <c:pt idx="24">
                  <c:v>87</c:v>
                </c:pt>
                <c:pt idx="25">
                  <c:v>81</c:v>
                </c:pt>
                <c:pt idx="26">
                  <c:v>80</c:v>
                </c:pt>
                <c:pt idx="27">
                  <c:v>73</c:v>
                </c:pt>
                <c:pt idx="28">
                  <c:v>75</c:v>
                </c:pt>
                <c:pt idx="29">
                  <c:v>78</c:v>
                </c:pt>
                <c:pt idx="30">
                  <c:v>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48F-4B55-92C0-FEB4CE1576F0}"/>
            </c:ext>
          </c:extLst>
        </c:ser>
        <c:ser>
          <c:idx val="2"/>
          <c:order val="1"/>
          <c:tx>
            <c:strRef>
              <c:f>'March 2016'!$I$4</c:f>
              <c:strCache>
                <c:ptCount val="1"/>
                <c:pt idx="0">
                  <c:v>SYS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ymbol val="none"/>
          </c:marker>
          <c:val>
            <c:numRef>
              <c:f>'March 2016'!$I$5:$I$35</c:f>
              <c:numCache>
                <c:formatCode>General</c:formatCode>
                <c:ptCount val="31"/>
                <c:pt idx="0">
                  <c:v>101</c:v>
                </c:pt>
                <c:pt idx="1">
                  <c:v>108</c:v>
                </c:pt>
                <c:pt idx="2">
                  <c:v>94</c:v>
                </c:pt>
                <c:pt idx="3">
                  <c:v>95</c:v>
                </c:pt>
                <c:pt idx="4">
                  <c:v>101</c:v>
                </c:pt>
                <c:pt idx="5">
                  <c:v>100</c:v>
                </c:pt>
                <c:pt idx="6">
                  <c:v>117</c:v>
                </c:pt>
                <c:pt idx="7">
                  <c:v>99</c:v>
                </c:pt>
                <c:pt idx="8">
                  <c:v>102</c:v>
                </c:pt>
                <c:pt idx="9">
                  <c:v>104</c:v>
                </c:pt>
                <c:pt idx="10">
                  <c:v>103</c:v>
                </c:pt>
                <c:pt idx="11">
                  <c:v>110</c:v>
                </c:pt>
                <c:pt idx="12">
                  <c:v>101</c:v>
                </c:pt>
                <c:pt idx="13">
                  <c:v>105</c:v>
                </c:pt>
                <c:pt idx="14">
                  <c:v>103</c:v>
                </c:pt>
                <c:pt idx="15">
                  <c:v>106</c:v>
                </c:pt>
                <c:pt idx="16">
                  <c:v>106</c:v>
                </c:pt>
                <c:pt idx="17">
                  <c:v>97</c:v>
                </c:pt>
                <c:pt idx="18">
                  <c:v>99</c:v>
                </c:pt>
                <c:pt idx="19">
                  <c:v>101</c:v>
                </c:pt>
                <c:pt idx="20">
                  <c:v>110</c:v>
                </c:pt>
                <c:pt idx="21">
                  <c:v>110</c:v>
                </c:pt>
                <c:pt idx="22">
                  <c:v>105</c:v>
                </c:pt>
                <c:pt idx="23">
                  <c:v>112</c:v>
                </c:pt>
                <c:pt idx="24">
                  <c:v>113</c:v>
                </c:pt>
                <c:pt idx="25">
                  <c:v>106</c:v>
                </c:pt>
                <c:pt idx="26">
                  <c:v>105</c:v>
                </c:pt>
                <c:pt idx="27">
                  <c:v>103</c:v>
                </c:pt>
                <c:pt idx="28">
                  <c:v>106</c:v>
                </c:pt>
                <c:pt idx="29">
                  <c:v>108</c:v>
                </c:pt>
                <c:pt idx="30">
                  <c:v>109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8F-4B55-92C0-FEB4CE1576F0}"/>
            </c:ext>
          </c:extLst>
        </c:ser>
        <c:ser>
          <c:idx val="0"/>
          <c:order val="2"/>
          <c:tx>
            <c:strRef>
              <c:f>'March 2016'!$J$4</c:f>
              <c:strCache>
                <c:ptCount val="1"/>
                <c:pt idx="0">
                  <c:v>DIA</c:v>
                </c:pt>
              </c:strCache>
            </c:strRef>
          </c:tx>
          <c:spPr>
            <a:ln w="28575" cap="rnd">
              <a:solidFill>
                <a:srgbClr val="A20000"/>
              </a:solidFill>
              <a:round/>
            </a:ln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ymbol val="none"/>
          </c:marker>
          <c:val>
            <c:numRef>
              <c:f>'March 2016'!$J$5:$J$35</c:f>
              <c:numCache>
                <c:formatCode>General</c:formatCode>
                <c:ptCount val="31"/>
                <c:pt idx="0">
                  <c:v>69</c:v>
                </c:pt>
                <c:pt idx="1">
                  <c:v>77</c:v>
                </c:pt>
                <c:pt idx="2">
                  <c:v>74</c:v>
                </c:pt>
                <c:pt idx="3">
                  <c:v>70</c:v>
                </c:pt>
                <c:pt idx="4">
                  <c:v>74</c:v>
                </c:pt>
                <c:pt idx="5">
                  <c:v>74</c:v>
                </c:pt>
                <c:pt idx="6">
                  <c:v>78</c:v>
                </c:pt>
                <c:pt idx="7">
                  <c:v>72</c:v>
                </c:pt>
                <c:pt idx="8">
                  <c:v>72</c:v>
                </c:pt>
                <c:pt idx="9">
                  <c:v>75</c:v>
                </c:pt>
                <c:pt idx="10">
                  <c:v>73</c:v>
                </c:pt>
                <c:pt idx="11">
                  <c:v>73</c:v>
                </c:pt>
                <c:pt idx="12">
                  <c:v>71</c:v>
                </c:pt>
                <c:pt idx="13">
                  <c:v>73</c:v>
                </c:pt>
                <c:pt idx="14">
                  <c:v>71</c:v>
                </c:pt>
                <c:pt idx="15">
                  <c:v>67</c:v>
                </c:pt>
                <c:pt idx="16">
                  <c:v>72</c:v>
                </c:pt>
                <c:pt idx="17">
                  <c:v>70</c:v>
                </c:pt>
                <c:pt idx="18">
                  <c:v>70</c:v>
                </c:pt>
                <c:pt idx="19">
                  <c:v>71</c:v>
                </c:pt>
                <c:pt idx="20">
                  <c:v>72</c:v>
                </c:pt>
                <c:pt idx="21">
                  <c:v>74</c:v>
                </c:pt>
                <c:pt idx="22">
                  <c:v>78</c:v>
                </c:pt>
                <c:pt idx="23">
                  <c:v>79</c:v>
                </c:pt>
                <c:pt idx="24">
                  <c:v>74</c:v>
                </c:pt>
                <c:pt idx="25">
                  <c:v>71</c:v>
                </c:pt>
                <c:pt idx="26">
                  <c:v>75</c:v>
                </c:pt>
                <c:pt idx="27">
                  <c:v>69</c:v>
                </c:pt>
                <c:pt idx="28">
                  <c:v>69</c:v>
                </c:pt>
                <c:pt idx="29">
                  <c:v>64</c:v>
                </c:pt>
                <c:pt idx="30">
                  <c:v>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8F-4B55-92C0-FEB4CE1576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998144"/>
        <c:axId val="138999680"/>
      </c:lineChart>
      <c:catAx>
        <c:axId val="13899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8999680"/>
        <c:crosses val="autoZero"/>
        <c:auto val="1"/>
        <c:lblAlgn val="ctr"/>
        <c:lblOffset val="100"/>
        <c:noMultiLvlLbl val="0"/>
      </c:catAx>
      <c:valAx>
        <c:axId val="1389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>
              <a:solidFill>
                <a:srgbClr val="00921F"/>
              </a:solidFill>
              <a:prstDash val="dash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8998144"/>
        <c:crosses val="autoZero"/>
        <c:crossBetween val="between"/>
      </c:valAx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BC28"/>
        </a:gs>
        <a:gs pos="100000">
          <a:schemeClr val="tx1">
            <a:lumMod val="95000"/>
            <a:lumOff val="5000"/>
          </a:schemeClr>
        </a:gs>
        <a:gs pos="40000">
          <a:srgbClr val="004C0D"/>
        </a:gs>
      </a:gsLst>
      <a:lin ang="108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FFFF00"/>
          </a:solidFill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bg1"/>
                </a:solidFill>
              </a:rPr>
              <a:t>Pulse</a:t>
            </a:r>
          </a:p>
        </c:rich>
      </c:tx>
      <c:overlay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title>
    <c:autoTitleDeleted val="0"/>
    <c:view3D>
      <c:rotX val="15"/>
      <c:rotY val="20"/>
      <c:depthPercent val="170"/>
      <c:rAngAx val="1"/>
    </c:view3D>
    <c:floor>
      <c:thickness val="0"/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</c:spPr>
    </c:backWall>
    <c:plotArea>
      <c:layout/>
      <c:line3DChart>
        <c:grouping val="standard"/>
        <c:varyColors val="0"/>
        <c:ser>
          <c:idx val="1"/>
          <c:order val="0"/>
          <c:tx>
            <c:strRef>
              <c:f>'March 2016'!$K$4</c:f>
              <c:strCache>
                <c:ptCount val="1"/>
                <c:pt idx="0">
                  <c:v>Pulse</c:v>
                </c:pt>
              </c:strCache>
            </c:strRef>
          </c:tx>
          <c:spPr>
            <a:solidFill>
              <a:schemeClr val="accent4"/>
            </a:solidFill>
            <a:ln w="28575" cap="rnd">
              <a:noFill/>
              <a:round/>
            </a:ln>
            <a:effectLst>
              <a:outerShdw dist="38100" sx="1000" sy="1000" algn="tl" rotWithShape="0">
                <a:prstClr val="black"/>
              </a:outerShdw>
            </a:effectLst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Arial Black" panose="020B0A040201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'March 2016'!$K$5:$K$35</c:f>
              <c:numCache>
                <c:formatCode>General</c:formatCode>
                <c:ptCount val="31"/>
                <c:pt idx="0">
                  <c:v>107</c:v>
                </c:pt>
                <c:pt idx="1">
                  <c:v>91</c:v>
                </c:pt>
                <c:pt idx="2">
                  <c:v>113</c:v>
                </c:pt>
                <c:pt idx="3">
                  <c:v>90</c:v>
                </c:pt>
                <c:pt idx="4">
                  <c:v>89</c:v>
                </c:pt>
                <c:pt idx="5">
                  <c:v>80</c:v>
                </c:pt>
                <c:pt idx="6">
                  <c:v>76</c:v>
                </c:pt>
                <c:pt idx="7">
                  <c:v>82</c:v>
                </c:pt>
                <c:pt idx="8">
                  <c:v>76</c:v>
                </c:pt>
                <c:pt idx="9">
                  <c:v>80</c:v>
                </c:pt>
                <c:pt idx="10">
                  <c:v>74</c:v>
                </c:pt>
                <c:pt idx="11">
                  <c:v>74</c:v>
                </c:pt>
                <c:pt idx="12">
                  <c:v>85</c:v>
                </c:pt>
                <c:pt idx="13">
                  <c:v>90</c:v>
                </c:pt>
                <c:pt idx="14">
                  <c:v>82</c:v>
                </c:pt>
                <c:pt idx="15">
                  <c:v>83</c:v>
                </c:pt>
                <c:pt idx="16">
                  <c:v>83</c:v>
                </c:pt>
                <c:pt idx="17">
                  <c:v>85</c:v>
                </c:pt>
                <c:pt idx="18">
                  <c:v>76</c:v>
                </c:pt>
                <c:pt idx="19">
                  <c:v>79</c:v>
                </c:pt>
                <c:pt idx="20">
                  <c:v>72</c:v>
                </c:pt>
                <c:pt idx="21">
                  <c:v>84</c:v>
                </c:pt>
                <c:pt idx="22">
                  <c:v>83</c:v>
                </c:pt>
                <c:pt idx="23">
                  <c:v>86</c:v>
                </c:pt>
                <c:pt idx="24">
                  <c:v>87</c:v>
                </c:pt>
                <c:pt idx="25">
                  <c:v>81</c:v>
                </c:pt>
                <c:pt idx="26">
                  <c:v>80</c:v>
                </c:pt>
                <c:pt idx="27">
                  <c:v>73</c:v>
                </c:pt>
                <c:pt idx="28">
                  <c:v>75</c:v>
                </c:pt>
                <c:pt idx="29">
                  <c:v>78</c:v>
                </c:pt>
                <c:pt idx="30">
                  <c:v>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48F-4B55-92C0-FEB4CE1576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Depth val="53"/>
        <c:axId val="138685440"/>
        <c:axId val="138696576"/>
        <c:axId val="138202176"/>
      </c:line3DChart>
      <c:catAx>
        <c:axId val="13868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FF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696576"/>
        <c:crosses val="autoZero"/>
        <c:auto val="1"/>
        <c:lblAlgn val="ctr"/>
        <c:lblOffset val="100"/>
        <c:noMultiLvlLbl val="0"/>
      </c:catAx>
      <c:valAx>
        <c:axId val="13869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>
              <a:solidFill>
                <a:srgbClr val="00921F"/>
              </a:solidFill>
              <a:prstDash val="dash"/>
            </a:ln>
            <a:effectLst>
              <a:outerShdw blurRad="50800" dist="38100" dir="2700000" sx="1000" sy="1000" algn="tl" rotWithShape="0">
                <a:prstClr val="black"/>
              </a:outerShdw>
            </a:effectLst>
          </c:spPr>
        </c:minorGridlines>
        <c:numFmt formatCode="General" sourceLinked="1"/>
        <c:majorTickMark val="out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FFF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685440"/>
        <c:crosses val="autoZero"/>
        <c:crossBetween val="between"/>
      </c:valAx>
      <c:serAx>
        <c:axId val="13820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38696576"/>
        <c:crosses val="autoZero"/>
      </c:ser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BC28"/>
        </a:gs>
        <a:gs pos="100000">
          <a:schemeClr val="tx1">
            <a:lumMod val="95000"/>
            <a:lumOff val="5000"/>
          </a:schemeClr>
        </a:gs>
        <a:gs pos="40000">
          <a:srgbClr val="004C0D"/>
        </a:gs>
      </a:gsLst>
      <a:lin ang="108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9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FFC000"/>
  </sheetPr>
  <sheetViews>
    <sheetView zoomScale="9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0"/>
  </sheetPr>
  <sheetViews>
    <sheetView zoomScale="9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5" tint="-0.249977111117893"/>
  </sheetPr>
  <sheetViews>
    <sheetView zoomScale="9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-0.499984740745262"/>
  </sheetPr>
  <sheetViews>
    <sheetView zoomScale="90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rgb="FFC00000"/>
  </sheetPr>
  <sheetViews>
    <sheetView zoomScale="90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rgb="FFC00000"/>
  </sheetPr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 title="Sys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0.174</cdr:x>
      <cdr:y>0.33917</cdr:y>
    </cdr:from>
    <cdr:to>
      <cdr:x>0.18671</cdr:x>
      <cdr:y>0.34643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07067" y="2133600"/>
          <a:ext cx="110066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0.44868</cdr:x>
      <cdr:y>0.08883</cdr:y>
    </cdr:from>
    <cdr:to>
      <cdr:x>0.55425</cdr:x>
      <cdr:y>0.23419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886200" y="558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 title="Sys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0.174</cdr:x>
      <cdr:y>0.33917</cdr:y>
    </cdr:from>
    <cdr:to>
      <cdr:x>0.18671</cdr:x>
      <cdr:y>0.34643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07067" y="2133600"/>
          <a:ext cx="110066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ables/table1.xml><?xml version="1.0" encoding="utf-8"?>
<table xmlns="http://schemas.openxmlformats.org/spreadsheetml/2006/main" id="2" name="Foods" displayName="Foods" ref="I2:Q146" totalsRowShown="0" headerRowDxfId="15" dataDxfId="13" headerRowBorderDxfId="14" tableBorderDxfId="12">
  <autoFilter ref="I2:Q146"/>
  <sortState ref="H4:O112">
    <sortCondition ref="H3:H112"/>
  </sortState>
  <tableColumns count="9">
    <tableColumn id="1" name="Foods" dataDxfId="11"/>
    <tableColumn id="2" name="Serving size/type" dataDxfId="10"/>
    <tableColumn id="3" name="Servings" dataDxfId="9">
      <calculatedColumnFormula>SUM(B3:G3)</calculatedColumnFormula>
    </tableColumn>
    <tableColumn id="4" name="Calories" dataDxfId="8"/>
    <tableColumn id="5" name="Cholesterol mg" dataDxfId="7"/>
    <tableColumn id="6" name="Sodium mg" dataDxfId="6"/>
    <tableColumn id="7" name="Potassium mg" dataDxfId="5"/>
    <tableColumn id="10" name="Carbohydrates g" dataDxfId="4">
      <calculatedColumnFormula>K3*27</calculatedColumnFormula>
    </tableColumn>
    <tableColumn id="8" name="Protein g" dataDxfId="3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1" name="Meals" displayName="Meals" ref="B2:G146" totalsRowShown="0" headerRowDxfId="2" headerRowBorderDxfId="1" tableBorderDxfId="0">
  <autoFilter ref="B2:G146"/>
  <tableColumns count="6">
    <tableColumn id="1" name="Snack 3"/>
    <tableColumn id="2" name="Meal 3"/>
    <tableColumn id="3" name="Snack 2"/>
    <tableColumn id="4" name="Meal 2"/>
    <tableColumn id="5" name="Snack 1"/>
    <tableColumn id="6" name="Meal 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1"/>
  <sheetViews>
    <sheetView tabSelected="1" topLeftCell="A18" zoomScaleNormal="100" workbookViewId="0">
      <selection activeCell="N39" sqref="N39"/>
    </sheetView>
  </sheetViews>
  <sheetFormatPr defaultColWidth="9.109375" defaultRowHeight="15.6" x14ac:dyDescent="0.3"/>
  <cols>
    <col min="1" max="1" width="12.33203125" bestFit="1" customWidth="1"/>
    <col min="2" max="2" width="5.5546875" style="1" bestFit="1" customWidth="1"/>
    <col min="3" max="3" width="10.21875" style="1" bestFit="1" customWidth="1"/>
    <col min="4" max="4" width="13.21875" style="1" bestFit="1" customWidth="1"/>
    <col min="5" max="5" width="10.21875" style="1" bestFit="1" customWidth="1"/>
    <col min="6" max="6" width="12.109375" style="1" bestFit="1" customWidth="1"/>
    <col min="7" max="7" width="8.109375" style="1" customWidth="1"/>
    <col min="8" max="8" width="8.5546875" style="1" bestFit="1" customWidth="1"/>
    <col min="9" max="9" width="6" bestFit="1" customWidth="1"/>
    <col min="10" max="10" width="4.6640625" customWidth="1"/>
    <col min="11" max="11" width="5.77734375" bestFit="1" customWidth="1"/>
    <col min="12" max="12" width="7.77734375" style="1" bestFit="1" customWidth="1"/>
    <col min="13" max="13" width="11.21875" bestFit="1" customWidth="1"/>
    <col min="14" max="14" width="5.5546875" style="1" bestFit="1" customWidth="1"/>
    <col min="15" max="15" width="14.88671875" style="1" customWidth="1"/>
    <col min="16" max="16" width="14.33203125" style="1" customWidth="1"/>
    <col min="17" max="17" width="13.33203125" style="8" customWidth="1"/>
    <col min="18" max="19" width="13.5546875" style="1" customWidth="1"/>
    <col min="20" max="20" width="10.6640625" style="1" customWidth="1"/>
    <col min="21" max="21" width="24.33203125" style="1" bestFit="1" customWidth="1"/>
    <col min="23" max="16384" width="9.109375" style="1"/>
  </cols>
  <sheetData>
    <row r="1" spans="1:23" ht="72" customHeight="1" x14ac:dyDescent="0.3">
      <c r="B1" s="121"/>
      <c r="C1" s="123" t="s">
        <v>132</v>
      </c>
      <c r="D1" s="123"/>
      <c r="E1" s="123"/>
      <c r="F1" s="123"/>
      <c r="G1" s="123"/>
      <c r="H1" s="123"/>
      <c r="I1" s="71"/>
      <c r="J1" s="71"/>
      <c r="K1" s="71"/>
      <c r="L1" s="70"/>
      <c r="M1" s="113" t="s">
        <v>259</v>
      </c>
      <c r="P1" s="70" t="s">
        <v>195</v>
      </c>
      <c r="Q1" s="3" t="s">
        <v>1</v>
      </c>
      <c r="R1" s="7" t="s">
        <v>30</v>
      </c>
      <c r="S1" s="7" t="s">
        <v>31</v>
      </c>
      <c r="T1" s="7" t="s">
        <v>32</v>
      </c>
      <c r="U1" s="7" t="s">
        <v>242</v>
      </c>
      <c r="V1" s="7" t="s">
        <v>34</v>
      </c>
      <c r="W1" s="3" t="s">
        <v>71</v>
      </c>
    </row>
    <row r="2" spans="1:23" ht="15.75" customHeight="1" x14ac:dyDescent="0.3">
      <c r="A2" s="3" t="s">
        <v>15</v>
      </c>
      <c r="B2" s="1" t="s">
        <v>270</v>
      </c>
      <c r="C2" s="6">
        <f>Servings!L1</f>
        <v>1047.3063583815028</v>
      </c>
      <c r="D2" s="6">
        <f>Servings!M1</f>
        <v>97.5</v>
      </c>
      <c r="E2" s="6">
        <f>Servings!N1</f>
        <v>1298.4826589595375</v>
      </c>
      <c r="F2" s="6">
        <f>Servings!O1</f>
        <v>1780.0260115606939</v>
      </c>
      <c r="G2" s="6">
        <f>Servings!P1</f>
        <v>175.38329398355449</v>
      </c>
      <c r="H2" s="6">
        <f>Servings!Q1</f>
        <v>30.048554913294797</v>
      </c>
      <c r="I2" s="71"/>
      <c r="J2" s="71"/>
      <c r="K2" s="71"/>
      <c r="Q2" s="28" t="s">
        <v>193</v>
      </c>
      <c r="R2" s="13" t="s">
        <v>205</v>
      </c>
      <c r="S2" s="14" t="s">
        <v>79</v>
      </c>
      <c r="T2" s="15" t="s">
        <v>78</v>
      </c>
      <c r="V2" s="12" t="s">
        <v>81</v>
      </c>
      <c r="W2" s="17" t="s">
        <v>70</v>
      </c>
    </row>
    <row r="3" spans="1:23" ht="15.75" customHeight="1" x14ac:dyDescent="0.3">
      <c r="A3" s="1"/>
      <c r="I3" s="71"/>
      <c r="J3" s="71"/>
      <c r="K3" s="71"/>
      <c r="Q3" s="14" t="s">
        <v>190</v>
      </c>
      <c r="R3" s="14" t="s">
        <v>204</v>
      </c>
      <c r="S3" s="12" t="s">
        <v>120</v>
      </c>
      <c r="T3" s="18" t="s">
        <v>80</v>
      </c>
      <c r="V3" s="16" t="s">
        <v>82</v>
      </c>
      <c r="W3" s="13" t="s">
        <v>72</v>
      </c>
    </row>
    <row r="4" spans="1:23" ht="15.75" customHeight="1" x14ac:dyDescent="0.3">
      <c r="A4" s="3" t="s">
        <v>10</v>
      </c>
      <c r="C4" s="92" t="s">
        <v>1</v>
      </c>
      <c r="D4" s="92" t="s">
        <v>6</v>
      </c>
      <c r="E4" s="92" t="s">
        <v>7</v>
      </c>
      <c r="F4" s="92" t="s">
        <v>8</v>
      </c>
      <c r="G4" s="92" t="s">
        <v>242</v>
      </c>
      <c r="H4" s="92" t="s">
        <v>9</v>
      </c>
      <c r="I4" s="91" t="s">
        <v>219</v>
      </c>
      <c r="J4" s="91" t="s">
        <v>220</v>
      </c>
      <c r="K4" s="91" t="s">
        <v>221</v>
      </c>
      <c r="L4" s="94" t="s">
        <v>225</v>
      </c>
      <c r="P4" s="94" t="s">
        <v>224</v>
      </c>
      <c r="Q4" s="93" t="s">
        <v>191</v>
      </c>
      <c r="R4" s="12" t="s">
        <v>203</v>
      </c>
      <c r="S4" s="2" t="s">
        <v>119</v>
      </c>
      <c r="T4" s="12" t="s">
        <v>77</v>
      </c>
      <c r="V4" s="8"/>
      <c r="W4" s="14" t="s">
        <v>73</v>
      </c>
    </row>
    <row r="5" spans="1:23" x14ac:dyDescent="0.3">
      <c r="A5" s="119">
        <v>42430</v>
      </c>
      <c r="B5" s="1" t="s">
        <v>271</v>
      </c>
      <c r="C5" s="6">
        <v>1330.8690680555555</v>
      </c>
      <c r="D5" s="6">
        <v>121.640625</v>
      </c>
      <c r="E5" s="6">
        <v>1727.5485625000001</v>
      </c>
      <c r="F5" s="6">
        <v>1259.0338281249999</v>
      </c>
      <c r="G5" s="6">
        <v>210.43748625000001</v>
      </c>
      <c r="H5" s="6">
        <v>31.303210625000002</v>
      </c>
      <c r="I5" s="84">
        <v>101</v>
      </c>
      <c r="J5" s="89">
        <v>69</v>
      </c>
      <c r="K5" s="90">
        <v>107</v>
      </c>
      <c r="L5" s="67">
        <v>221.6</v>
      </c>
      <c r="M5" s="116">
        <f>IFERROR(100/(D5/H5)/100," ")</f>
        <v>0.2573417443802184</v>
      </c>
      <c r="P5" s="67"/>
      <c r="Q5" s="2" t="s">
        <v>192</v>
      </c>
      <c r="S5" s="8"/>
      <c r="V5" s="1"/>
      <c r="W5" s="19" t="s">
        <v>74</v>
      </c>
    </row>
    <row r="6" spans="1:23" x14ac:dyDescent="0.3">
      <c r="A6" s="119">
        <v>42431</v>
      </c>
      <c r="B6" s="1" t="s">
        <v>272</v>
      </c>
      <c r="C6" s="6">
        <v>1607.6745388888889</v>
      </c>
      <c r="D6" s="6">
        <v>92.5</v>
      </c>
      <c r="E6" s="6">
        <v>1735</v>
      </c>
      <c r="F6" s="6">
        <v>1530.6249874999999</v>
      </c>
      <c r="G6" s="6">
        <v>207.67856357142858</v>
      </c>
      <c r="H6" s="6">
        <v>23.767856071428572</v>
      </c>
      <c r="I6" s="84">
        <v>108</v>
      </c>
      <c r="J6" s="86">
        <v>77</v>
      </c>
      <c r="K6" s="88">
        <v>91</v>
      </c>
      <c r="L6" s="67">
        <v>220.2</v>
      </c>
      <c r="M6" s="116">
        <f>IFERROR(100/(D6/H6)/100," ")</f>
        <v>0.25694979536679535</v>
      </c>
      <c r="P6" s="67"/>
      <c r="Q6" s="1"/>
      <c r="S6" s="8"/>
      <c r="V6" s="1"/>
      <c r="W6" s="12" t="s">
        <v>75</v>
      </c>
    </row>
    <row r="7" spans="1:23" x14ac:dyDescent="0.3">
      <c r="A7" s="119">
        <v>42432</v>
      </c>
      <c r="B7" s="120" t="s">
        <v>273</v>
      </c>
      <c r="C7" s="6">
        <v>1141.320809248555</v>
      </c>
      <c r="D7" s="6">
        <v>62.5</v>
      </c>
      <c r="E7" s="6">
        <v>1713.9205202312139</v>
      </c>
      <c r="F7" s="6">
        <v>3101.4942196531792</v>
      </c>
      <c r="G7" s="6">
        <v>155.49150587532904</v>
      </c>
      <c r="H7" s="6">
        <v>33.822543352601159</v>
      </c>
      <c r="I7" s="84">
        <v>94</v>
      </c>
      <c r="J7" s="86">
        <v>74</v>
      </c>
      <c r="K7" s="88">
        <v>113</v>
      </c>
      <c r="L7" s="67">
        <v>220.4</v>
      </c>
      <c r="M7" s="116">
        <f t="shared" ref="M7:M35" si="0">IFERROR(100/(D7/H7)/100," ")</f>
        <v>0.54116069364161856</v>
      </c>
      <c r="P7" s="67"/>
      <c r="Q7" s="1"/>
      <c r="S7" s="8"/>
      <c r="V7" s="1"/>
      <c r="W7" s="2" t="s">
        <v>66</v>
      </c>
    </row>
    <row r="8" spans="1:23" x14ac:dyDescent="0.3">
      <c r="A8" s="119">
        <v>42433</v>
      </c>
      <c r="B8" s="1" t="s">
        <v>274</v>
      </c>
      <c r="C8" s="6">
        <v>2345.25</v>
      </c>
      <c r="D8" s="6">
        <v>253</v>
      </c>
      <c r="E8" s="6">
        <v>6362.25</v>
      </c>
      <c r="F8" s="6">
        <v>2637.5</v>
      </c>
      <c r="G8" s="6">
        <v>230.55</v>
      </c>
      <c r="H8" s="6">
        <v>84.325000000000003</v>
      </c>
      <c r="I8" s="84">
        <v>95</v>
      </c>
      <c r="J8" s="86">
        <v>70</v>
      </c>
      <c r="K8" s="88">
        <v>90</v>
      </c>
      <c r="L8" s="67">
        <v>219.8</v>
      </c>
      <c r="M8" s="116">
        <f t="shared" si="0"/>
        <v>0.33330039525691701</v>
      </c>
    </row>
    <row r="9" spans="1:23" x14ac:dyDescent="0.3">
      <c r="A9" s="119">
        <v>42434</v>
      </c>
      <c r="B9" s="1" t="s">
        <v>275</v>
      </c>
      <c r="C9" s="6">
        <v>1387.7456647398844</v>
      </c>
      <c r="D9" s="6">
        <v>136</v>
      </c>
      <c r="E9" s="6">
        <v>2480.6936416184972</v>
      </c>
      <c r="F9" s="6">
        <v>2091.9595375722547</v>
      </c>
      <c r="G9" s="6">
        <v>238.4804472305897</v>
      </c>
      <c r="H9" s="6">
        <v>68.257803468208095</v>
      </c>
      <c r="I9" s="84">
        <v>101</v>
      </c>
      <c r="J9" s="86">
        <v>74</v>
      </c>
      <c r="K9" s="88">
        <v>89</v>
      </c>
      <c r="L9" s="67">
        <v>221.4</v>
      </c>
      <c r="M9" s="116">
        <f t="shared" si="0"/>
        <v>0.50189561373682423</v>
      </c>
    </row>
    <row r="10" spans="1:23" x14ac:dyDescent="0.3">
      <c r="A10" s="119">
        <v>42435</v>
      </c>
      <c r="B10" s="1" t="s">
        <v>276</v>
      </c>
      <c r="C10" s="6">
        <v>906.38</v>
      </c>
      <c r="D10" s="6">
        <v>72.83</v>
      </c>
      <c r="E10" s="6">
        <v>1028.4099999999999</v>
      </c>
      <c r="F10" s="6">
        <v>1077.07</v>
      </c>
      <c r="G10" s="6">
        <v>120.81</v>
      </c>
      <c r="H10" s="6">
        <v>26.43</v>
      </c>
      <c r="I10" s="84">
        <v>100</v>
      </c>
      <c r="J10" s="86">
        <v>74</v>
      </c>
      <c r="K10" s="88">
        <v>80</v>
      </c>
      <c r="L10" s="67">
        <v>219.8</v>
      </c>
      <c r="M10" s="116">
        <f t="shared" si="0"/>
        <v>0.36289990388576138</v>
      </c>
    </row>
    <row r="11" spans="1:23" x14ac:dyDescent="0.3">
      <c r="A11" s="119">
        <v>42436</v>
      </c>
      <c r="B11" s="1" t="s">
        <v>277</v>
      </c>
      <c r="C11" s="6">
        <v>1492.2515000000001</v>
      </c>
      <c r="D11" s="6">
        <v>98.6875</v>
      </c>
      <c r="E11" s="6">
        <v>1254.06475</v>
      </c>
      <c r="F11" s="6">
        <v>1552.5868</v>
      </c>
      <c r="G11" s="6">
        <v>136.5</v>
      </c>
      <c r="H11" s="6">
        <v>56.445950000000003</v>
      </c>
      <c r="I11" s="84">
        <v>117</v>
      </c>
      <c r="J11" s="86">
        <v>78</v>
      </c>
      <c r="K11" s="88">
        <v>76</v>
      </c>
      <c r="L11" s="67">
        <v>221.8</v>
      </c>
      <c r="M11" s="116">
        <f t="shared" si="0"/>
        <v>0.57196656111462962</v>
      </c>
    </row>
    <row r="12" spans="1:23" x14ac:dyDescent="0.3">
      <c r="A12" s="119">
        <v>42437</v>
      </c>
      <c r="B12" s="1" t="s">
        <v>271</v>
      </c>
      <c r="C12" s="6">
        <v>1335.6745388888889</v>
      </c>
      <c r="D12" s="6">
        <v>130</v>
      </c>
      <c r="E12" s="6">
        <v>2864.5</v>
      </c>
      <c r="F12" s="6">
        <v>1133.1249874999999</v>
      </c>
      <c r="G12" s="6">
        <v>171.67856357142858</v>
      </c>
      <c r="H12" s="6">
        <v>43.267856071428568</v>
      </c>
      <c r="I12" s="84">
        <v>99</v>
      </c>
      <c r="J12" s="86">
        <v>72</v>
      </c>
      <c r="K12" s="88">
        <v>82</v>
      </c>
      <c r="L12" s="67">
        <v>221</v>
      </c>
      <c r="M12" s="116">
        <f t="shared" si="0"/>
        <v>0.33282966208791209</v>
      </c>
    </row>
    <row r="13" spans="1:23" x14ac:dyDescent="0.3">
      <c r="A13" s="119">
        <v>42438</v>
      </c>
      <c r="B13" s="1" t="s">
        <v>272</v>
      </c>
      <c r="C13" s="5">
        <v>1835.028901734104</v>
      </c>
      <c r="D13" s="5">
        <v>186.25</v>
      </c>
      <c r="E13" s="5">
        <v>3472.8757225433528</v>
      </c>
      <c r="F13" s="5">
        <v>2366.9364161849712</v>
      </c>
      <c r="G13" s="5">
        <v>218.52041439387773</v>
      </c>
      <c r="H13" s="5">
        <v>64.197976878612707</v>
      </c>
      <c r="I13" s="83">
        <v>102</v>
      </c>
      <c r="J13" s="86">
        <v>72</v>
      </c>
      <c r="K13" s="88">
        <v>76</v>
      </c>
      <c r="L13" s="67">
        <v>222</v>
      </c>
      <c r="M13" s="116">
        <f t="shared" si="0"/>
        <v>0.34468712418047093</v>
      </c>
    </row>
    <row r="14" spans="1:23" x14ac:dyDescent="0.3">
      <c r="A14" s="119">
        <v>42439</v>
      </c>
      <c r="B14" s="120" t="s">
        <v>273</v>
      </c>
      <c r="C14" s="6">
        <v>856.52650684007676</v>
      </c>
      <c r="D14" s="6">
        <v>65</v>
      </c>
      <c r="E14" s="6">
        <v>1120.5375722543399</v>
      </c>
      <c r="F14" s="6">
        <v>1508.0686041184972</v>
      </c>
      <c r="G14" s="6">
        <v>111.73573684850919</v>
      </c>
      <c r="H14" s="6">
        <v>29.998365902146986</v>
      </c>
      <c r="I14" s="83">
        <v>104</v>
      </c>
      <c r="J14" s="86">
        <v>75</v>
      </c>
      <c r="K14" s="88">
        <v>80</v>
      </c>
      <c r="L14" s="67">
        <v>220</v>
      </c>
      <c r="M14" s="116">
        <f t="shared" si="0"/>
        <v>0.46151332157149205</v>
      </c>
    </row>
    <row r="15" spans="1:23" x14ac:dyDescent="0.3">
      <c r="A15" s="119">
        <v>42440</v>
      </c>
      <c r="B15" s="1" t="s">
        <v>274</v>
      </c>
      <c r="C15" s="6">
        <v>843.27270947692318</v>
      </c>
      <c r="D15" s="6">
        <v>60.176020623077598</v>
      </c>
      <c r="E15" s="6">
        <v>825.91000806967736</v>
      </c>
      <c r="F15" s="6">
        <v>1505.8428996130651</v>
      </c>
      <c r="G15" s="6">
        <v>86.549322912426391</v>
      </c>
      <c r="H15" s="6">
        <v>26.030859421564156</v>
      </c>
      <c r="I15" s="83">
        <v>103</v>
      </c>
      <c r="J15" s="86">
        <v>73</v>
      </c>
      <c r="K15" s="88">
        <v>74</v>
      </c>
      <c r="L15" s="67">
        <v>219.4</v>
      </c>
      <c r="M15" s="116">
        <f t="shared" si="0"/>
        <v>0.43257861108185808</v>
      </c>
    </row>
    <row r="16" spans="1:23" x14ac:dyDescent="0.3">
      <c r="A16" s="119">
        <v>42441</v>
      </c>
      <c r="B16" s="1" t="s">
        <v>275</v>
      </c>
      <c r="C16" s="6">
        <v>839.21785762863499</v>
      </c>
      <c r="D16" s="6">
        <v>90.088010311538795</v>
      </c>
      <c r="E16" s="6">
        <v>1361.414541607093</v>
      </c>
      <c r="F16" s="6">
        <v>611.08214344815099</v>
      </c>
      <c r="G16" s="6">
        <v>67.599999999999994</v>
      </c>
      <c r="H16" s="6">
        <v>29.62872450846994</v>
      </c>
      <c r="I16" s="83">
        <v>110</v>
      </c>
      <c r="J16" s="86">
        <v>73</v>
      </c>
      <c r="K16" s="88">
        <v>74</v>
      </c>
      <c r="L16" s="67">
        <v>219.6</v>
      </c>
      <c r="M16" s="116">
        <f t="shared" si="0"/>
        <v>0.32888643456558825</v>
      </c>
    </row>
    <row r="17" spans="1:13" x14ac:dyDescent="0.3">
      <c r="A17" s="119">
        <v>42442</v>
      </c>
      <c r="B17" s="1" t="s">
        <v>276</v>
      </c>
      <c r="C17" s="6">
        <v>1091.117857628635</v>
      </c>
      <c r="D17" s="6">
        <v>101.5880103115388</v>
      </c>
      <c r="E17" s="6">
        <v>2651.9145416070933</v>
      </c>
      <c r="F17" s="6">
        <v>1913.2821434481509</v>
      </c>
      <c r="G17" s="6">
        <v>233.2</v>
      </c>
      <c r="H17" s="6">
        <v>38.928724508469941</v>
      </c>
      <c r="I17" s="83">
        <v>101</v>
      </c>
      <c r="J17" s="86">
        <v>71</v>
      </c>
      <c r="K17" s="88">
        <v>85</v>
      </c>
      <c r="L17" s="67">
        <v>218</v>
      </c>
      <c r="M17" s="116">
        <f t="shared" si="0"/>
        <v>0.38320195847017446</v>
      </c>
    </row>
    <row r="18" spans="1:13" x14ac:dyDescent="0.3">
      <c r="A18" s="119">
        <v>42443</v>
      </c>
      <c r="B18" s="1" t="s">
        <v>277</v>
      </c>
      <c r="C18" s="6">
        <v>1573.1612026396447</v>
      </c>
      <c r="D18" s="6">
        <v>62.989246918681701</v>
      </c>
      <c r="E18" s="6">
        <v>1040.2366207978444</v>
      </c>
      <c r="F18" s="6">
        <v>2423.4023746620242</v>
      </c>
      <c r="G18" s="6">
        <v>183.9987857743765</v>
      </c>
      <c r="H18" s="6">
        <v>34.811362774365897</v>
      </c>
      <c r="I18" s="83">
        <v>105</v>
      </c>
      <c r="J18" s="86">
        <v>73</v>
      </c>
      <c r="K18" s="88">
        <v>90</v>
      </c>
      <c r="L18" s="67">
        <v>216.8</v>
      </c>
      <c r="M18" s="116">
        <f t="shared" si="0"/>
        <v>0.55265564326093486</v>
      </c>
    </row>
    <row r="19" spans="1:13" x14ac:dyDescent="0.3">
      <c r="A19" s="119">
        <v>42444</v>
      </c>
      <c r="B19" s="1" t="s">
        <v>271</v>
      </c>
      <c r="C19" s="6">
        <v>1162.790111963895</v>
      </c>
      <c r="D19" s="6">
        <v>126.3380103115388</v>
      </c>
      <c r="E19" s="6">
        <v>1614.3538479654744</v>
      </c>
      <c r="F19" s="6">
        <v>1664.4231839105787</v>
      </c>
      <c r="G19" s="6">
        <v>96.884017205351569</v>
      </c>
      <c r="H19" s="6">
        <v>37.048666705001736</v>
      </c>
      <c r="I19" s="83">
        <v>103</v>
      </c>
      <c r="J19" s="86">
        <v>71</v>
      </c>
      <c r="K19" s="88">
        <v>82</v>
      </c>
      <c r="L19" s="67">
        <v>219.8</v>
      </c>
      <c r="M19" s="116">
        <f t="shared" si="0"/>
        <v>0.29325035762113777</v>
      </c>
    </row>
    <row r="20" spans="1:13" x14ac:dyDescent="0.3">
      <c r="A20" s="119">
        <v>42445</v>
      </c>
      <c r="B20" s="1" t="s">
        <v>272</v>
      </c>
      <c r="C20" s="6">
        <v>780.52263688254345</v>
      </c>
      <c r="D20" s="6">
        <v>44.114413405000441</v>
      </c>
      <c r="E20" s="6">
        <v>357.93138963835389</v>
      </c>
      <c r="F20" s="6">
        <v>2376.9880581588968</v>
      </c>
      <c r="G20" s="6">
        <v>108.91679828489239</v>
      </c>
      <c r="H20" s="6">
        <v>17.238382323438667</v>
      </c>
      <c r="I20" s="83">
        <v>106</v>
      </c>
      <c r="J20" s="86">
        <v>67</v>
      </c>
      <c r="K20" s="88">
        <v>83</v>
      </c>
      <c r="L20" s="67">
        <v>218.8</v>
      </c>
      <c r="M20" s="116">
        <f t="shared" si="0"/>
        <v>0.3907653075918418</v>
      </c>
    </row>
    <row r="21" spans="1:13" x14ac:dyDescent="0.3">
      <c r="A21" s="119">
        <v>42446</v>
      </c>
      <c r="B21" s="120" t="s">
        <v>273</v>
      </c>
      <c r="C21" s="6">
        <v>1001.1028901734104</v>
      </c>
      <c r="D21" s="6">
        <v>65</v>
      </c>
      <c r="E21" s="6">
        <v>1478.0375722543354</v>
      </c>
      <c r="F21" s="6">
        <v>1601.4936416184971</v>
      </c>
      <c r="G21" s="6">
        <v>65.500046134223453</v>
      </c>
      <c r="H21" s="6">
        <v>27.394797687861271</v>
      </c>
      <c r="I21" s="83">
        <v>106</v>
      </c>
      <c r="J21" s="86">
        <v>72</v>
      </c>
      <c r="K21" s="88">
        <v>83</v>
      </c>
      <c r="L21" s="67">
        <v>216.4</v>
      </c>
      <c r="M21" s="116">
        <f t="shared" si="0"/>
        <v>0.42145842596709643</v>
      </c>
    </row>
    <row r="22" spans="1:13" x14ac:dyDescent="0.3">
      <c r="A22" s="119">
        <v>42447</v>
      </c>
      <c r="B22" s="1" t="s">
        <v>274</v>
      </c>
      <c r="C22" s="6">
        <v>999.47940751445094</v>
      </c>
      <c r="D22" s="6">
        <v>50</v>
      </c>
      <c r="E22" s="6">
        <v>620.60729768786132</v>
      </c>
      <c r="F22" s="6">
        <v>2175.432803468208</v>
      </c>
      <c r="G22" s="6">
        <v>295.02109148145132</v>
      </c>
      <c r="H22" s="6">
        <v>20.474566473988439</v>
      </c>
      <c r="I22" s="83">
        <v>97</v>
      </c>
      <c r="J22" s="86">
        <v>70</v>
      </c>
      <c r="K22" s="88">
        <v>85</v>
      </c>
      <c r="L22" s="67">
        <v>216.6</v>
      </c>
      <c r="M22" s="116">
        <f t="shared" si="0"/>
        <v>0.4094913294797688</v>
      </c>
    </row>
    <row r="23" spans="1:13" x14ac:dyDescent="0.3">
      <c r="A23" s="119">
        <v>42448</v>
      </c>
      <c r="B23" s="1" t="s">
        <v>275</v>
      </c>
      <c r="C23" s="6">
        <v>774.48554913294799</v>
      </c>
      <c r="D23" s="6">
        <v>90</v>
      </c>
      <c r="E23" s="6">
        <v>1776.3121387283236</v>
      </c>
      <c r="F23" s="6">
        <v>948.5317919075145</v>
      </c>
      <c r="G23" s="6">
        <v>180.56080219273252</v>
      </c>
      <c r="H23" s="6">
        <v>27.126011560693641</v>
      </c>
      <c r="I23" s="83">
        <v>99</v>
      </c>
      <c r="J23" s="86">
        <v>70</v>
      </c>
      <c r="K23" s="88">
        <v>76</v>
      </c>
      <c r="L23" s="67">
        <v>216.4</v>
      </c>
      <c r="M23" s="116">
        <f t="shared" si="0"/>
        <v>0.30140012845215153</v>
      </c>
    </row>
    <row r="24" spans="1:13" x14ac:dyDescent="0.3">
      <c r="A24" s="119">
        <v>42449</v>
      </c>
      <c r="B24" s="1" t="s">
        <v>276</v>
      </c>
      <c r="C24" s="6">
        <v>776.6</v>
      </c>
      <c r="D24" s="6">
        <v>17.5</v>
      </c>
      <c r="E24" s="6">
        <v>423.5</v>
      </c>
      <c r="F24" s="6">
        <v>657.3</v>
      </c>
      <c r="G24" s="6">
        <v>110.8</v>
      </c>
      <c r="H24" s="6">
        <v>7</v>
      </c>
      <c r="I24" s="83">
        <v>101</v>
      </c>
      <c r="J24" s="86">
        <v>71</v>
      </c>
      <c r="K24" s="88">
        <v>79</v>
      </c>
      <c r="L24" s="67">
        <v>219</v>
      </c>
      <c r="M24" s="116">
        <f t="shared" si="0"/>
        <v>0.4</v>
      </c>
    </row>
    <row r="25" spans="1:13" x14ac:dyDescent="0.3">
      <c r="A25" s="119">
        <v>42450</v>
      </c>
      <c r="B25" s="1" t="s">
        <v>277</v>
      </c>
      <c r="C25" s="6">
        <v>1274.8894508670521</v>
      </c>
      <c r="D25" s="6">
        <v>88.5</v>
      </c>
      <c r="E25" s="5">
        <v>1858.8128612716764</v>
      </c>
      <c r="F25" s="5">
        <v>2500.7182080924858</v>
      </c>
      <c r="G25" s="5">
        <v>416.48520719693886</v>
      </c>
      <c r="H25" s="5">
        <v>50.873988439306359</v>
      </c>
      <c r="I25" s="83">
        <v>110</v>
      </c>
      <c r="J25" s="86">
        <v>72</v>
      </c>
      <c r="K25" s="88">
        <v>72</v>
      </c>
      <c r="L25" s="67">
        <v>218.2</v>
      </c>
      <c r="M25" s="116">
        <f>IFERROR(100/(D25/H25)/100," ")</f>
        <v>0.57484732699781194</v>
      </c>
    </row>
    <row r="26" spans="1:13" x14ac:dyDescent="0.3">
      <c r="A26" s="119">
        <v>42451</v>
      </c>
      <c r="B26" s="1" t="s">
        <v>271</v>
      </c>
      <c r="C26" s="6">
        <v>1464</v>
      </c>
      <c r="D26" s="6">
        <v>230</v>
      </c>
      <c r="E26" s="5">
        <v>1779</v>
      </c>
      <c r="F26" s="5">
        <v>2410</v>
      </c>
      <c r="G26" s="5">
        <v>503</v>
      </c>
      <c r="H26" s="5">
        <v>80.7</v>
      </c>
      <c r="I26" s="83">
        <v>110</v>
      </c>
      <c r="J26" s="86">
        <v>74</v>
      </c>
      <c r="K26" s="88">
        <v>84</v>
      </c>
      <c r="L26" s="67">
        <v>217.8</v>
      </c>
      <c r="M26" s="116">
        <f t="shared" si="0"/>
        <v>0.35086956521739132</v>
      </c>
    </row>
    <row r="27" spans="1:13" x14ac:dyDescent="0.3">
      <c r="A27" s="119">
        <v>42452</v>
      </c>
      <c r="B27" s="1" t="s">
        <v>272</v>
      </c>
      <c r="C27" s="6">
        <v>937.65281791907512</v>
      </c>
      <c r="D27" s="6">
        <v>10</v>
      </c>
      <c r="E27" s="5">
        <v>1700.8616329479769</v>
      </c>
      <c r="F27" s="5">
        <v>2273.0513005780349</v>
      </c>
      <c r="G27" s="5">
        <v>224.96752150668948</v>
      </c>
      <c r="H27" s="5">
        <v>30.262427745664741</v>
      </c>
      <c r="I27" s="83">
        <v>105</v>
      </c>
      <c r="J27" s="86">
        <v>78</v>
      </c>
      <c r="K27" s="88">
        <v>83</v>
      </c>
      <c r="L27" s="67">
        <v>218</v>
      </c>
      <c r="M27" s="116">
        <f t="shared" si="0"/>
        <v>3.0262427745664739</v>
      </c>
    </row>
    <row r="28" spans="1:13" x14ac:dyDescent="0.3">
      <c r="A28" s="119">
        <v>42453</v>
      </c>
      <c r="B28" s="120" t="s">
        <v>273</v>
      </c>
      <c r="C28" s="6">
        <v>1369.9767011834319</v>
      </c>
      <c r="D28" s="6">
        <v>95.9375</v>
      </c>
      <c r="E28" s="5">
        <v>1191.2818047337278</v>
      </c>
      <c r="F28" s="5">
        <v>1250.75</v>
      </c>
      <c r="G28" s="5">
        <v>347.67130177514792</v>
      </c>
      <c r="H28" s="5">
        <v>39.324999999999996</v>
      </c>
      <c r="I28" s="83">
        <v>112</v>
      </c>
      <c r="J28" s="86">
        <v>79</v>
      </c>
      <c r="K28" s="88">
        <v>86</v>
      </c>
      <c r="L28" s="67">
        <v>217.2</v>
      </c>
      <c r="M28" s="116">
        <f t="shared" si="0"/>
        <v>0.40990228013029312</v>
      </c>
    </row>
    <row r="29" spans="1:13" x14ac:dyDescent="0.3">
      <c r="A29" s="119">
        <v>42454</v>
      </c>
      <c r="B29" s="1" t="s">
        <v>274</v>
      </c>
      <c r="C29" s="6">
        <v>2080.4335260115604</v>
      </c>
      <c r="D29" s="6">
        <v>199.5</v>
      </c>
      <c r="E29" s="5">
        <v>1838.1358381502889</v>
      </c>
      <c r="F29" s="5">
        <v>2393.5462427745665</v>
      </c>
      <c r="G29" s="5">
        <v>203.86607506309534</v>
      </c>
      <c r="H29" s="5">
        <v>63.71965317919075</v>
      </c>
      <c r="I29" s="83">
        <v>113</v>
      </c>
      <c r="J29" s="86">
        <v>74</v>
      </c>
      <c r="K29" s="88">
        <v>87</v>
      </c>
      <c r="L29" s="67">
        <v>217.6</v>
      </c>
      <c r="M29" s="116">
        <f t="shared" si="0"/>
        <v>0.31939675779042986</v>
      </c>
    </row>
    <row r="30" spans="1:13" x14ac:dyDescent="0.3">
      <c r="A30" s="119">
        <v>42455</v>
      </c>
      <c r="B30" s="1" t="s">
        <v>275</v>
      </c>
      <c r="C30" s="6">
        <v>1676.6642011834319</v>
      </c>
      <c r="D30" s="6">
        <v>210</v>
      </c>
      <c r="E30" s="5">
        <v>1137.1318047337277</v>
      </c>
      <c r="F30" s="5">
        <v>1484</v>
      </c>
      <c r="G30" s="5">
        <v>566.62130177514791</v>
      </c>
      <c r="H30" s="5">
        <v>68.3</v>
      </c>
      <c r="I30" s="83">
        <v>106</v>
      </c>
      <c r="J30" s="86">
        <v>71</v>
      </c>
      <c r="K30" s="88">
        <v>81</v>
      </c>
      <c r="L30" s="67">
        <v>218.8</v>
      </c>
      <c r="M30" s="116">
        <f t="shared" si="0"/>
        <v>0.32523809523809516</v>
      </c>
    </row>
    <row r="31" spans="1:13" x14ac:dyDescent="0.3">
      <c r="A31" s="119">
        <v>42456</v>
      </c>
      <c r="B31" s="1" t="s">
        <v>276</v>
      </c>
      <c r="C31" s="6">
        <v>1275.0881502890174</v>
      </c>
      <c r="D31" s="6">
        <v>0</v>
      </c>
      <c r="E31" s="5">
        <v>866.87095375722549</v>
      </c>
      <c r="F31" s="5">
        <v>2055.1560693641622</v>
      </c>
      <c r="G31" s="5">
        <v>102.68474042714863</v>
      </c>
      <c r="H31" s="5">
        <v>32.991329479768787</v>
      </c>
      <c r="I31" s="83">
        <v>105</v>
      </c>
      <c r="J31" s="86">
        <v>75</v>
      </c>
      <c r="K31" s="88">
        <v>80</v>
      </c>
      <c r="L31" s="67">
        <v>219.4</v>
      </c>
      <c r="M31" s="116" t="str">
        <f t="shared" si="0"/>
        <v xml:space="preserve"> </v>
      </c>
    </row>
    <row r="32" spans="1:13" x14ac:dyDescent="0.3">
      <c r="A32" s="119">
        <v>42457</v>
      </c>
      <c r="B32" s="1" t="s">
        <v>277</v>
      </c>
      <c r="C32" s="6">
        <v>2585.25</v>
      </c>
      <c r="D32" s="6">
        <v>105</v>
      </c>
      <c r="E32" s="5">
        <v>4446.4750000000004</v>
      </c>
      <c r="F32" s="5">
        <v>3696</v>
      </c>
      <c r="G32" s="5">
        <v>353.4</v>
      </c>
      <c r="H32" s="5">
        <v>71.3</v>
      </c>
      <c r="I32" s="83">
        <v>103</v>
      </c>
      <c r="J32" s="86">
        <v>69</v>
      </c>
      <c r="K32" s="88">
        <v>73</v>
      </c>
      <c r="L32" s="67">
        <v>218.6</v>
      </c>
      <c r="M32" s="116">
        <f t="shared" si="0"/>
        <v>0.67904761904761901</v>
      </c>
    </row>
    <row r="33" spans="1:16" x14ac:dyDescent="0.3">
      <c r="A33" s="119">
        <v>42458</v>
      </c>
      <c r="B33" s="1" t="s">
        <v>271</v>
      </c>
      <c r="C33" s="6">
        <v>1257.8214285714284</v>
      </c>
      <c r="D33" s="6">
        <v>95</v>
      </c>
      <c r="E33" s="5">
        <v>1901.647932330827</v>
      </c>
      <c r="F33" s="5">
        <v>2580.8421052631579</v>
      </c>
      <c r="G33" s="5">
        <v>180.17218045112782</v>
      </c>
      <c r="H33" s="5">
        <v>31.478947368421053</v>
      </c>
      <c r="I33" s="83">
        <v>106</v>
      </c>
      <c r="J33" s="86">
        <v>69</v>
      </c>
      <c r="K33" s="88">
        <v>75</v>
      </c>
      <c r="L33" s="67">
        <v>221.8</v>
      </c>
      <c r="M33" s="116">
        <f t="shared" si="0"/>
        <v>0.33135734072022166</v>
      </c>
    </row>
    <row r="34" spans="1:16" x14ac:dyDescent="0.3">
      <c r="A34" s="119">
        <v>42459</v>
      </c>
      <c r="B34" s="1" t="s">
        <v>272</v>
      </c>
      <c r="C34" s="6">
        <v>1365.6</v>
      </c>
      <c r="D34" s="6">
        <v>0</v>
      </c>
      <c r="E34" s="5">
        <v>949</v>
      </c>
      <c r="F34" s="5">
        <v>2104.8000000000002</v>
      </c>
      <c r="G34" s="5">
        <v>244.8</v>
      </c>
      <c r="H34" s="5">
        <v>14.6</v>
      </c>
      <c r="I34" s="83">
        <v>108</v>
      </c>
      <c r="J34" s="86">
        <v>64</v>
      </c>
      <c r="K34" s="88">
        <v>78</v>
      </c>
      <c r="L34" s="67">
        <v>219.2</v>
      </c>
      <c r="M34" s="116" t="str">
        <f t="shared" si="0"/>
        <v xml:space="preserve"> </v>
      </c>
    </row>
    <row r="35" spans="1:16" x14ac:dyDescent="0.3">
      <c r="A35" s="119">
        <v>42460</v>
      </c>
      <c r="B35" s="120" t="s">
        <v>273</v>
      </c>
      <c r="C35" s="6">
        <v>1047.3063583815028</v>
      </c>
      <c r="D35" s="6">
        <v>97.5</v>
      </c>
      <c r="E35" s="5">
        <v>1298.4826589595375</v>
      </c>
      <c r="F35" s="5">
        <v>1780.0260115606939</v>
      </c>
      <c r="G35" s="5">
        <v>175.38329398355449</v>
      </c>
      <c r="H35" s="5">
        <v>30.048554913294797</v>
      </c>
      <c r="I35" s="82">
        <v>109</v>
      </c>
      <c r="J35" s="85">
        <v>72</v>
      </c>
      <c r="K35" s="87">
        <v>81</v>
      </c>
      <c r="L35" s="67">
        <v>219</v>
      </c>
      <c r="M35" s="116">
        <f t="shared" si="0"/>
        <v>0.30819030680302356</v>
      </c>
    </row>
    <row r="36" spans="1:16" x14ac:dyDescent="0.3">
      <c r="A36" s="20"/>
      <c r="C36" s="21" t="s">
        <v>1</v>
      </c>
      <c r="D36" s="21" t="s">
        <v>6</v>
      </c>
      <c r="E36" s="21" t="s">
        <v>7</v>
      </c>
      <c r="F36" s="21" t="s">
        <v>8</v>
      </c>
      <c r="G36" s="21" t="s">
        <v>242</v>
      </c>
      <c r="H36" s="21" t="s">
        <v>9</v>
      </c>
      <c r="I36" s="72" t="s">
        <v>196</v>
      </c>
      <c r="J36" s="72" t="s">
        <v>197</v>
      </c>
      <c r="K36" s="73" t="s">
        <v>198</v>
      </c>
      <c r="L36" s="73" t="s">
        <v>248</v>
      </c>
      <c r="M36" s="73" t="s">
        <v>263</v>
      </c>
    </row>
    <row r="37" spans="1:16" x14ac:dyDescent="0.3">
      <c r="A37" s="22" t="s">
        <v>116</v>
      </c>
      <c r="C37" s="74">
        <f t="shared" ref="C37:H37" si="1">AVERAGE(C5:C35)</f>
        <v>1303.714657607856</v>
      </c>
      <c r="D37" s="74">
        <f t="shared" si="1"/>
        <v>98.633526996173416</v>
      </c>
      <c r="E37" s="74">
        <f t="shared" si="1"/>
        <v>1770.2490069157566</v>
      </c>
      <c r="F37" s="74">
        <f t="shared" si="1"/>
        <v>1892.4215599523257</v>
      </c>
      <c r="G37" s="74">
        <f t="shared" si="1"/>
        <v>211.2892001259828</v>
      </c>
      <c r="H37" s="74">
        <f t="shared" si="1"/>
        <v>40.035437401900857</v>
      </c>
      <c r="I37" s="74">
        <f t="shared" ref="I37:J37" si="2">AVERAGE(I5:I35)</f>
        <v>104.48387096774194</v>
      </c>
      <c r="J37" s="74">
        <f t="shared" si="2"/>
        <v>72.354838709677423</v>
      </c>
      <c r="K37" s="74">
        <f>AVERAGE(K5:K35)</f>
        <v>83.064516129032256</v>
      </c>
      <c r="L37" s="74">
        <f>AVERAGE(L5:L35)</f>
        <v>219.17419354838711</v>
      </c>
      <c r="M37" s="115">
        <f>AVERAGE(M5:M35)</f>
        <v>0.48976983028360521</v>
      </c>
    </row>
    <row r="38" spans="1:16" x14ac:dyDescent="0.3">
      <c r="A38" s="4"/>
      <c r="C38" s="6"/>
      <c r="D38" s="6"/>
      <c r="E38" s="10"/>
      <c r="F38" s="10"/>
      <c r="G38" s="10"/>
      <c r="H38" s="10"/>
      <c r="M38" s="1"/>
    </row>
    <row r="39" spans="1:16" x14ac:dyDescent="0.3">
      <c r="A39" s="117" t="s">
        <v>235</v>
      </c>
      <c r="C39" s="118">
        <v>1331.964688358064</v>
      </c>
      <c r="D39" s="118">
        <v>94.427789241417941</v>
      </c>
      <c r="E39" s="118">
        <v>1689.9892272938032</v>
      </c>
      <c r="F39" s="118">
        <v>2350.3353673172146</v>
      </c>
      <c r="G39" s="118"/>
      <c r="H39" s="118">
        <v>41.559819972950315</v>
      </c>
      <c r="I39" s="118">
        <v>107.66666666666667</v>
      </c>
      <c r="J39" s="118">
        <v>76.055555555555557</v>
      </c>
      <c r="K39" s="118">
        <v>82.388888888888886</v>
      </c>
      <c r="L39" s="118">
        <v>226</v>
      </c>
      <c r="M39" s="118"/>
      <c r="O39" s="111"/>
      <c r="P39" s="111"/>
    </row>
    <row r="40" spans="1:16" x14ac:dyDescent="0.3">
      <c r="A40" s="117" t="s">
        <v>253</v>
      </c>
      <c r="C40" s="118">
        <v>1416.3384974387575</v>
      </c>
      <c r="D40" s="118">
        <v>122.06336807384471</v>
      </c>
      <c r="E40" s="118">
        <v>2226.3698142198632</v>
      </c>
      <c r="F40" s="118">
        <v>2221.6380051746</v>
      </c>
      <c r="G40" s="118">
        <v>163.89459640373028</v>
      </c>
      <c r="H40" s="118">
        <v>51.384488490153799</v>
      </c>
      <c r="I40" s="118">
        <v>104.51724137931035</v>
      </c>
      <c r="J40" s="118">
        <v>73.482758620689651</v>
      </c>
      <c r="K40" s="118">
        <v>81.620689655172413</v>
      </c>
      <c r="L40" s="118">
        <v>223.01379310344831</v>
      </c>
      <c r="M40" s="118"/>
      <c r="O40" s="111"/>
      <c r="P40" s="111"/>
    </row>
    <row r="41" spans="1:16" x14ac:dyDescent="0.3">
      <c r="A41" s="117" t="s">
        <v>254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O41" s="111"/>
      <c r="P41" s="111"/>
    </row>
    <row r="42" spans="1:16" x14ac:dyDescent="0.3">
      <c r="A42" s="117" t="s">
        <v>255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O42" s="111"/>
      <c r="P42" s="111"/>
    </row>
    <row r="43" spans="1:16" x14ac:dyDescent="0.3">
      <c r="A43" s="117" t="s">
        <v>256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O43" s="111"/>
      <c r="P43" s="111"/>
    </row>
    <row r="44" spans="1:16" x14ac:dyDescent="0.3">
      <c r="A44" s="117" t="s">
        <v>257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O44" s="111"/>
      <c r="P44" s="111"/>
    </row>
    <row r="45" spans="1:16" x14ac:dyDescent="0.3">
      <c r="A45" s="117" t="s">
        <v>264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O45" s="111"/>
      <c r="P45" s="111"/>
    </row>
    <row r="46" spans="1:16" x14ac:dyDescent="0.3">
      <c r="A46" s="117" t="s">
        <v>265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O46" s="111"/>
      <c r="P46" s="111"/>
    </row>
    <row r="47" spans="1:16" x14ac:dyDescent="0.3">
      <c r="A47" s="117" t="s">
        <v>266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O47" s="111"/>
      <c r="P47" s="111"/>
    </row>
    <row r="48" spans="1:16" x14ac:dyDescent="0.3">
      <c r="A48" s="117" t="s">
        <v>267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O48" s="111"/>
      <c r="P48" s="111"/>
    </row>
    <row r="49" spans="1:16" x14ac:dyDescent="0.3">
      <c r="A49" s="117" t="s">
        <v>268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O49" s="111"/>
      <c r="P49" s="111"/>
    </row>
    <row r="50" spans="1:16" x14ac:dyDescent="0.3">
      <c r="A50" s="117" t="s">
        <v>269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O50" s="111"/>
      <c r="P50" s="111"/>
    </row>
    <row r="51" spans="1:16" x14ac:dyDescent="0.3">
      <c r="L51" s="111"/>
      <c r="M51" s="112"/>
      <c r="O51" s="111"/>
      <c r="P51" s="111"/>
    </row>
  </sheetData>
  <mergeCells count="1">
    <mergeCell ref="C1:H1"/>
  </mergeCells>
  <conditionalFormatting sqref="H2 H5:H35">
    <cfRule type="cellIs" dxfId="28" priority="14" operator="greaterThan">
      <formula>62</formula>
    </cfRule>
  </conditionalFormatting>
  <conditionalFormatting sqref="C2 C5:C35">
    <cfRule type="cellIs" dxfId="27" priority="4" operator="between">
      <formula>591</formula>
      <formula>1590</formula>
    </cfRule>
    <cfRule type="cellIs" dxfId="26" priority="5" operator="between">
      <formula>1591</formula>
      <formula>2000</formula>
    </cfRule>
    <cfRule type="cellIs" dxfId="25" priority="16" operator="greaterThan">
      <formula>2000</formula>
    </cfRule>
  </conditionalFormatting>
  <conditionalFormatting sqref="D2 D5:D35">
    <cfRule type="cellIs" dxfId="24" priority="6" operator="between">
      <formula>120</formula>
      <formula>199</formula>
    </cfRule>
    <cfRule type="cellIs" dxfId="23" priority="8" operator="between">
      <formula>120</formula>
      <formula>1</formula>
    </cfRule>
    <cfRule type="cellIs" dxfId="22" priority="18" operator="greaterThan">
      <formula>199</formula>
    </cfRule>
  </conditionalFormatting>
  <conditionalFormatting sqref="E2 E5:E35">
    <cfRule type="cellIs" dxfId="21" priority="10" operator="between">
      <formula>1201</formula>
      <formula>1999</formula>
    </cfRule>
    <cfRule type="cellIs" dxfId="20" priority="17" operator="greaterThan">
      <formula>2000</formula>
    </cfRule>
  </conditionalFormatting>
  <conditionalFormatting sqref="F2 F5:F35">
    <cfRule type="cellIs" dxfId="19" priority="1" operator="greaterThan">
      <formula>1499</formula>
    </cfRule>
    <cfRule type="cellIs" dxfId="18" priority="2" operator="between">
      <formula>1000</formula>
      <formula>1</formula>
    </cfRule>
    <cfRule type="cellIs" dxfId="17" priority="13" operator="between">
      <formula>1000</formula>
      <formula>1499</formula>
    </cfRule>
  </conditionalFormatting>
  <pageMargins left="0.7" right="0.7" top="0.75" bottom="0.75" header="0.3" footer="0.3"/>
  <pageSetup scale="87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83"/>
  <sheetViews>
    <sheetView zoomScale="87" zoomScaleNormal="87" workbookViewId="0">
      <pane ySplit="2" topLeftCell="A11" activePane="bottomLeft" state="frozenSplit"/>
      <selection pane="bottomLeft" activeCell="G21" sqref="G21"/>
    </sheetView>
  </sheetViews>
  <sheetFormatPr defaultRowHeight="14.4" x14ac:dyDescent="0.3"/>
  <cols>
    <col min="1" max="1" width="3.33203125" customWidth="1"/>
    <col min="2" max="2" width="9.33203125" bestFit="1" customWidth="1"/>
    <col min="3" max="5" width="5.33203125" bestFit="1" customWidth="1"/>
    <col min="6" max="6" width="5.33203125" customWidth="1"/>
    <col min="7" max="7" width="5.33203125" bestFit="1" customWidth="1"/>
    <col min="8" max="8" width="0.88671875" customWidth="1"/>
    <col min="9" max="9" width="35.109375" bestFit="1" customWidth="1"/>
    <col min="10" max="10" width="10.109375" bestFit="1" customWidth="1"/>
    <col min="11" max="11" width="6.44140625" bestFit="1" customWidth="1"/>
    <col min="12" max="12" width="7.109375" bestFit="1" customWidth="1"/>
    <col min="13" max="13" width="6.88671875" bestFit="1" customWidth="1"/>
    <col min="14" max="15" width="7.109375" bestFit="1" customWidth="1"/>
    <col min="16" max="16" width="6.88671875" bestFit="1" customWidth="1"/>
    <col min="17" max="17" width="7.109375" bestFit="1" customWidth="1"/>
    <col min="18" max="18" width="11.109375" customWidth="1"/>
    <col min="19" max="19" width="10.109375" customWidth="1"/>
  </cols>
  <sheetData>
    <row r="1" spans="1:22" ht="24" customHeight="1" thickBot="1" x14ac:dyDescent="0.35">
      <c r="A1" s="108"/>
      <c r="B1" s="124" t="s">
        <v>29</v>
      </c>
      <c r="C1" s="124"/>
      <c r="D1" s="124"/>
      <c r="E1" s="124"/>
      <c r="F1" s="124"/>
      <c r="G1" s="124"/>
      <c r="H1" s="39"/>
      <c r="I1" s="107" t="s">
        <v>25</v>
      </c>
      <c r="J1" s="38"/>
      <c r="K1" s="101"/>
      <c r="L1" s="105">
        <f t="shared" ref="L1:Q1" si="0">SUM(L3:L146)</f>
        <v>1047.3063583815028</v>
      </c>
      <c r="M1" s="104">
        <f t="shared" si="0"/>
        <v>97.5</v>
      </c>
      <c r="N1" s="103">
        <f t="shared" si="0"/>
        <v>1298.4826589595375</v>
      </c>
      <c r="O1" s="103">
        <f t="shared" si="0"/>
        <v>1780.0260115606939</v>
      </c>
      <c r="P1" s="103">
        <f t="shared" si="0"/>
        <v>175.38329398355449</v>
      </c>
      <c r="Q1" s="102">
        <f t="shared" si="0"/>
        <v>30.048554913294797</v>
      </c>
      <c r="R1" s="109"/>
      <c r="S1" s="106"/>
    </row>
    <row r="2" spans="1:22" ht="101.4" thickBot="1" x14ac:dyDescent="0.35">
      <c r="A2" s="40"/>
      <c r="B2" s="68" t="s">
        <v>228</v>
      </c>
      <c r="C2" s="69" t="s">
        <v>178</v>
      </c>
      <c r="D2" s="69" t="s">
        <v>226</v>
      </c>
      <c r="E2" s="69" t="s">
        <v>177</v>
      </c>
      <c r="F2" s="69" t="s">
        <v>227</v>
      </c>
      <c r="G2" s="69" t="s">
        <v>179</v>
      </c>
      <c r="H2" s="42"/>
      <c r="I2" s="43" t="s">
        <v>0</v>
      </c>
      <c r="J2" s="44" t="s">
        <v>36</v>
      </c>
      <c r="K2" s="45" t="s">
        <v>29</v>
      </c>
      <c r="L2" s="46" t="s">
        <v>1</v>
      </c>
      <c r="M2" s="47" t="s">
        <v>11</v>
      </c>
      <c r="N2" s="45" t="s">
        <v>12</v>
      </c>
      <c r="O2" s="45" t="s">
        <v>13</v>
      </c>
      <c r="P2" s="48" t="s">
        <v>237</v>
      </c>
      <c r="Q2" s="48" t="s">
        <v>14</v>
      </c>
      <c r="R2" s="32" t="s">
        <v>46</v>
      </c>
      <c r="S2" s="50">
        <f>SUM(R4:R101)</f>
        <v>0</v>
      </c>
    </row>
    <row r="3" spans="1:22" ht="18" thickBot="1" x14ac:dyDescent="0.35">
      <c r="A3" s="62"/>
      <c r="B3" s="60"/>
      <c r="C3" s="95"/>
      <c r="D3" s="95"/>
      <c r="E3" s="95"/>
      <c r="F3" s="95"/>
      <c r="G3" s="95"/>
      <c r="H3" s="9"/>
      <c r="I3" s="25" t="s">
        <v>133</v>
      </c>
      <c r="J3" s="26" t="s">
        <v>33</v>
      </c>
      <c r="K3" s="55">
        <f t="shared" ref="K3:K24" si="1">SUM(B3:G3)</f>
        <v>0</v>
      </c>
      <c r="L3" s="24">
        <f>350*K3</f>
        <v>0</v>
      </c>
      <c r="M3" s="11">
        <v>0</v>
      </c>
      <c r="N3" s="23">
        <f>775*K3</f>
        <v>0</v>
      </c>
      <c r="O3" s="97">
        <f>150*K3</f>
        <v>0</v>
      </c>
      <c r="P3" s="24">
        <f>K3*19</f>
        <v>0</v>
      </c>
      <c r="Q3" s="11">
        <f>5*K3</f>
        <v>0</v>
      </c>
      <c r="R3" s="31">
        <f>SUM(R4:R135)</f>
        <v>0</v>
      </c>
      <c r="S3" s="30"/>
    </row>
    <row r="4" spans="1:22" ht="17.399999999999999" x14ac:dyDescent="0.3">
      <c r="A4" s="40"/>
      <c r="B4" s="60"/>
      <c r="C4" s="34"/>
      <c r="D4" s="34"/>
      <c r="E4" s="34"/>
      <c r="F4" s="34"/>
      <c r="G4" s="34"/>
      <c r="H4" s="9"/>
      <c r="I4" s="25" t="s">
        <v>27</v>
      </c>
      <c r="J4" s="26" t="s">
        <v>94</v>
      </c>
      <c r="K4" s="55">
        <f t="shared" si="1"/>
        <v>0</v>
      </c>
      <c r="L4" s="24">
        <f>K4*380</f>
        <v>0</v>
      </c>
      <c r="M4" s="11">
        <v>0</v>
      </c>
      <c r="N4" s="23">
        <f>K4*150</f>
        <v>0</v>
      </c>
      <c r="O4" s="23">
        <v>0</v>
      </c>
      <c r="P4" s="24">
        <f>K4*21</f>
        <v>0</v>
      </c>
      <c r="Q4" s="11">
        <f>K4*5</f>
        <v>0</v>
      </c>
      <c r="R4" s="33"/>
      <c r="S4" s="30"/>
      <c r="V4" s="98"/>
    </row>
    <row r="5" spans="1:22" ht="17.399999999999999" x14ac:dyDescent="0.3">
      <c r="A5" s="40"/>
      <c r="B5" s="60"/>
      <c r="C5" s="34"/>
      <c r="D5" s="34"/>
      <c r="E5" s="34"/>
      <c r="F5" s="34"/>
      <c r="G5" s="34"/>
      <c r="H5" s="9"/>
      <c r="I5" s="25" t="s">
        <v>134</v>
      </c>
      <c r="J5" s="26" t="s">
        <v>236</v>
      </c>
      <c r="K5" s="55">
        <f t="shared" si="1"/>
        <v>0</v>
      </c>
      <c r="L5" s="24">
        <f>K5*326.3333333</f>
        <v>0</v>
      </c>
      <c r="M5" s="11">
        <f>K5*0</f>
        <v>0</v>
      </c>
      <c r="N5" s="23">
        <f>K5*384.08333</f>
        <v>0</v>
      </c>
      <c r="O5" s="23">
        <f>K5*1049.229167</f>
        <v>0</v>
      </c>
      <c r="P5" s="24"/>
      <c r="Q5" s="11">
        <f>K5*17.45</f>
        <v>0</v>
      </c>
      <c r="R5" s="33"/>
      <c r="S5" s="30"/>
    </row>
    <row r="6" spans="1:22" ht="17.399999999999999" x14ac:dyDescent="0.3">
      <c r="A6" s="40"/>
      <c r="B6" s="60"/>
      <c r="C6" s="34"/>
      <c r="D6" s="34"/>
      <c r="E6" s="34"/>
      <c r="F6" s="34"/>
      <c r="G6" s="34">
        <v>1</v>
      </c>
      <c r="H6" s="9"/>
      <c r="I6" s="25" t="s">
        <v>135</v>
      </c>
      <c r="J6" s="26" t="s">
        <v>96</v>
      </c>
      <c r="K6" s="55">
        <f t="shared" si="1"/>
        <v>1</v>
      </c>
      <c r="L6" s="24">
        <f>K6*105</f>
        <v>105</v>
      </c>
      <c r="M6" s="11">
        <f>K6*0</f>
        <v>0</v>
      </c>
      <c r="N6" s="23">
        <f>K6*1</f>
        <v>1</v>
      </c>
      <c r="O6" s="23">
        <f>K6*422</f>
        <v>422</v>
      </c>
      <c r="P6" s="24">
        <f t="shared" ref="P6:P10" si="2">K6*27</f>
        <v>27</v>
      </c>
      <c r="Q6" s="11">
        <f>K6*1.3</f>
        <v>1.3</v>
      </c>
      <c r="R6" s="33"/>
      <c r="S6" s="30"/>
    </row>
    <row r="7" spans="1:22" ht="17.399999999999999" x14ac:dyDescent="0.3">
      <c r="A7" s="40"/>
      <c r="B7" s="60"/>
      <c r="C7" s="34"/>
      <c r="D7" s="34"/>
      <c r="E7" s="34"/>
      <c r="F7" s="34"/>
      <c r="G7" s="34"/>
      <c r="H7" s="9"/>
      <c r="I7" s="25" t="s">
        <v>136</v>
      </c>
      <c r="J7" s="26" t="s">
        <v>95</v>
      </c>
      <c r="K7" s="55">
        <f t="shared" si="1"/>
        <v>0</v>
      </c>
      <c r="L7" s="24">
        <f>K7*338.025</f>
        <v>0</v>
      </c>
      <c r="M7" s="11">
        <f>K7*1.375</f>
        <v>0</v>
      </c>
      <c r="N7" s="23">
        <f>K7*156.25</f>
        <v>0</v>
      </c>
      <c r="O7" s="23">
        <f>K7*135.7125</f>
        <v>0</v>
      </c>
      <c r="P7" s="24">
        <f>K7*46.825</f>
        <v>0</v>
      </c>
      <c r="Q7" s="11">
        <f>K7*4.25625</f>
        <v>0</v>
      </c>
      <c r="R7" s="33"/>
      <c r="S7" s="41"/>
    </row>
    <row r="8" spans="1:22" ht="17.399999999999999" x14ac:dyDescent="0.3">
      <c r="A8" s="40"/>
      <c r="B8" s="60"/>
      <c r="C8" s="34"/>
      <c r="D8" s="34"/>
      <c r="E8" s="34"/>
      <c r="F8" s="34"/>
      <c r="G8" s="34"/>
      <c r="H8" s="9"/>
      <c r="I8" s="25" t="s">
        <v>215</v>
      </c>
      <c r="J8" s="26" t="s">
        <v>97</v>
      </c>
      <c r="K8" s="55">
        <f t="shared" si="1"/>
        <v>0</v>
      </c>
      <c r="L8" s="24">
        <f>K8*287.25</f>
        <v>0</v>
      </c>
      <c r="M8" s="11">
        <f>K8*10.5</f>
        <v>0</v>
      </c>
      <c r="N8" s="23">
        <f>K8*367.5</f>
        <v>0</v>
      </c>
      <c r="O8" s="23">
        <f>K8*36.8</f>
        <v>0</v>
      </c>
      <c r="P8" s="24">
        <f>K8*54.6</f>
        <v>0</v>
      </c>
      <c r="Q8" s="11">
        <f>K8*8.4</f>
        <v>0</v>
      </c>
      <c r="R8" s="33"/>
      <c r="S8" s="41"/>
    </row>
    <row r="9" spans="1:22" ht="17.399999999999999" x14ac:dyDescent="0.3">
      <c r="A9" s="40"/>
      <c r="B9" s="60"/>
      <c r="C9" s="34"/>
      <c r="D9" s="34"/>
      <c r="E9" s="34"/>
      <c r="F9" s="34"/>
      <c r="G9" s="34"/>
      <c r="H9" s="9"/>
      <c r="I9" s="77" t="s">
        <v>214</v>
      </c>
      <c r="J9" s="26" t="s">
        <v>213</v>
      </c>
      <c r="K9" s="78">
        <f t="shared" si="1"/>
        <v>0</v>
      </c>
      <c r="L9" s="79">
        <f>K9*336</f>
        <v>0</v>
      </c>
      <c r="M9" s="80">
        <f>K9*71</f>
        <v>0</v>
      </c>
      <c r="N9" s="81">
        <f>K9*512</f>
        <v>0</v>
      </c>
      <c r="O9" s="81"/>
      <c r="P9" s="24">
        <f t="shared" si="2"/>
        <v>0</v>
      </c>
      <c r="Q9" s="11">
        <f>K9*26</f>
        <v>0</v>
      </c>
      <c r="R9" s="33"/>
      <c r="S9" s="41"/>
    </row>
    <row r="10" spans="1:22" ht="17.399999999999999" x14ac:dyDescent="0.3">
      <c r="A10" s="40"/>
      <c r="B10" s="60"/>
      <c r="C10" s="34"/>
      <c r="D10" s="34"/>
      <c r="E10" s="34"/>
      <c r="F10" s="34"/>
      <c r="G10" s="34"/>
      <c r="H10" s="9"/>
      <c r="I10" s="25" t="s">
        <v>207</v>
      </c>
      <c r="J10" s="26" t="s">
        <v>95</v>
      </c>
      <c r="K10" s="55">
        <f t="shared" si="1"/>
        <v>0</v>
      </c>
      <c r="L10" s="29">
        <f>K10*(80)</f>
        <v>0</v>
      </c>
      <c r="M10" s="29">
        <f>K10*(20)</f>
        <v>0</v>
      </c>
      <c r="N10" s="29">
        <f>K10*(250)</f>
        <v>0</v>
      </c>
      <c r="O10" s="23">
        <f>K10*0</f>
        <v>0</v>
      </c>
      <c r="P10" s="24">
        <f t="shared" si="2"/>
        <v>0</v>
      </c>
      <c r="Q10" s="24">
        <f>K10*(3)</f>
        <v>0</v>
      </c>
      <c r="R10" s="33"/>
      <c r="S10" s="41"/>
    </row>
    <row r="11" spans="1:22" ht="17.399999999999999" x14ac:dyDescent="0.3">
      <c r="A11" s="40"/>
      <c r="B11" s="60"/>
      <c r="C11" s="34"/>
      <c r="D11" s="34"/>
      <c r="E11" s="34"/>
      <c r="F11" s="34"/>
      <c r="G11" s="34"/>
      <c r="H11" s="9"/>
      <c r="I11" s="25" t="s">
        <v>239</v>
      </c>
      <c r="J11" s="26" t="s">
        <v>95</v>
      </c>
      <c r="K11" s="55">
        <f t="shared" si="1"/>
        <v>0</v>
      </c>
      <c r="L11" s="57">
        <f>K11*60</f>
        <v>0</v>
      </c>
      <c r="M11" s="58">
        <f>K11*(0)</f>
        <v>0</v>
      </c>
      <c r="N11" s="59">
        <f>K11*115</f>
        <v>0</v>
      </c>
      <c r="O11" s="59"/>
      <c r="P11" s="24">
        <f>K11*13</f>
        <v>0</v>
      </c>
      <c r="Q11" s="11">
        <f>K11*2</f>
        <v>0</v>
      </c>
      <c r="R11" s="33"/>
      <c r="S11" s="41"/>
    </row>
    <row r="12" spans="1:22" ht="17.399999999999999" x14ac:dyDescent="0.3">
      <c r="A12" s="40"/>
      <c r="B12" s="60"/>
      <c r="C12" s="34"/>
      <c r="D12" s="34"/>
      <c r="E12" s="34"/>
      <c r="F12" s="34"/>
      <c r="G12" s="34"/>
      <c r="H12" s="9"/>
      <c r="I12" s="25" t="s">
        <v>20</v>
      </c>
      <c r="J12" s="26" t="s">
        <v>95</v>
      </c>
      <c r="K12" s="55">
        <f t="shared" si="1"/>
        <v>0</v>
      </c>
      <c r="L12" s="24">
        <f>K12*15.8</f>
        <v>0</v>
      </c>
      <c r="M12" s="11">
        <f>K12*0</f>
        <v>0</v>
      </c>
      <c r="N12" s="23">
        <f>K12*0</f>
        <v>0</v>
      </c>
      <c r="O12" s="23">
        <f>K12*1.4</f>
        <v>0</v>
      </c>
      <c r="P12" s="24">
        <f>K12*2.4</f>
        <v>0</v>
      </c>
      <c r="Q12" s="11">
        <f>K12*0.1</f>
        <v>0</v>
      </c>
      <c r="R12" s="33"/>
      <c r="S12" s="41"/>
    </row>
    <row r="13" spans="1:22" ht="17.399999999999999" x14ac:dyDescent="0.3">
      <c r="A13" s="51"/>
      <c r="B13" s="60"/>
      <c r="C13" s="34"/>
      <c r="D13" s="34"/>
      <c r="E13" s="34"/>
      <c r="F13" s="34"/>
      <c r="G13" s="34"/>
      <c r="H13" s="9"/>
      <c r="I13" s="25" t="s">
        <v>245</v>
      </c>
      <c r="J13" s="26" t="s">
        <v>137</v>
      </c>
      <c r="K13" s="55">
        <f t="shared" si="1"/>
        <v>0</v>
      </c>
      <c r="L13" s="29">
        <f>K13*102.364829340278</f>
        <v>0</v>
      </c>
      <c r="M13" s="29">
        <f>K13*4.375</f>
        <v>0</v>
      </c>
      <c r="N13" s="29">
        <f>K13*64.0625</f>
        <v>0</v>
      </c>
      <c r="O13" s="23">
        <f>K13*103.222655859375</f>
        <v>0</v>
      </c>
      <c r="P13" s="24">
        <f>K13*17.9274551116071</f>
        <v>0</v>
      </c>
      <c r="Q13" s="24">
        <f>K13*2.25837050223214</f>
        <v>0</v>
      </c>
      <c r="R13" s="33"/>
      <c r="S13" s="41"/>
    </row>
    <row r="14" spans="1:22" ht="17.399999999999999" x14ac:dyDescent="0.3">
      <c r="A14" s="40"/>
      <c r="B14" s="60"/>
      <c r="C14" s="34"/>
      <c r="D14" s="34"/>
      <c r="E14" s="34"/>
      <c r="F14" s="34"/>
      <c r="G14" s="34"/>
      <c r="H14" s="9"/>
      <c r="I14" s="25" t="s">
        <v>138</v>
      </c>
      <c r="J14" s="26" t="s">
        <v>139</v>
      </c>
      <c r="K14" s="55">
        <f t="shared" si="1"/>
        <v>0</v>
      </c>
      <c r="L14" s="29">
        <f>K14*25</f>
        <v>0</v>
      </c>
      <c r="M14" s="29">
        <f>K14*0</f>
        <v>0</v>
      </c>
      <c r="N14" s="29">
        <f>K14*340</f>
        <v>0</v>
      </c>
      <c r="O14" s="23">
        <f>K14*0</f>
        <v>0</v>
      </c>
      <c r="P14" s="24">
        <f>K14*3</f>
        <v>0</v>
      </c>
      <c r="Q14" s="24">
        <f>K14*0.89</f>
        <v>0</v>
      </c>
      <c r="R14" s="33"/>
      <c r="S14" s="41"/>
    </row>
    <row r="15" spans="1:22" ht="17.399999999999999" x14ac:dyDescent="0.3">
      <c r="A15" s="40"/>
      <c r="B15" s="60"/>
      <c r="C15" s="34"/>
      <c r="D15" s="34"/>
      <c r="E15" s="34"/>
      <c r="F15" s="34"/>
      <c r="G15" s="34"/>
      <c r="H15" s="9"/>
      <c r="I15" s="25" t="s">
        <v>223</v>
      </c>
      <c r="J15" s="26" t="s">
        <v>222</v>
      </c>
      <c r="K15" s="55">
        <f t="shared" si="1"/>
        <v>0</v>
      </c>
      <c r="L15" s="29">
        <f>K15*135.6875</f>
        <v>0</v>
      </c>
      <c r="M15" s="29">
        <f>K15*0</f>
        <v>0</v>
      </c>
      <c r="N15" s="29">
        <f>K15*510.3125</f>
        <v>0</v>
      </c>
      <c r="O15" s="23">
        <f>K15*291.375</f>
        <v>0</v>
      </c>
      <c r="P15" s="24">
        <f>K15*143.8</f>
        <v>0</v>
      </c>
      <c r="Q15" s="24">
        <f>K15*6.8</f>
        <v>0</v>
      </c>
      <c r="R15" s="33"/>
      <c r="S15" s="41"/>
    </row>
    <row r="16" spans="1:22" ht="15.75" customHeight="1" x14ac:dyDescent="0.3">
      <c r="A16" s="52"/>
      <c r="B16" s="60"/>
      <c r="C16" s="34"/>
      <c r="D16" s="34"/>
      <c r="E16" s="34"/>
      <c r="F16" s="34"/>
      <c r="G16" s="34"/>
      <c r="H16" s="9"/>
      <c r="I16" s="25" t="s">
        <v>127</v>
      </c>
      <c r="J16" s="26" t="s">
        <v>97</v>
      </c>
      <c r="K16" s="55">
        <f t="shared" si="1"/>
        <v>0</v>
      </c>
      <c r="L16" s="29">
        <f>K16*330.998866666667</f>
        <v>0</v>
      </c>
      <c r="M16" s="29">
        <f>K16*21.3333333333333</f>
        <v>0</v>
      </c>
      <c r="N16" s="29">
        <f>K16*277.4444</f>
        <v>0</v>
      </c>
      <c r="O16" s="23">
        <f>K16*431.865266666667</f>
        <v>0</v>
      </c>
      <c r="P16" s="24">
        <f>K16*12</f>
        <v>0</v>
      </c>
      <c r="Q16" s="11">
        <f>K16*15.4671066666667</f>
        <v>0</v>
      </c>
      <c r="R16" s="33"/>
      <c r="S16" s="41"/>
    </row>
    <row r="17" spans="1:19" ht="17.399999999999999" x14ac:dyDescent="0.3">
      <c r="A17" s="40"/>
      <c r="B17" s="60"/>
      <c r="C17" s="34"/>
      <c r="D17" s="34"/>
      <c r="E17" s="34"/>
      <c r="F17" s="34"/>
      <c r="G17" s="34"/>
      <c r="H17" s="9"/>
      <c r="I17" s="25" t="s">
        <v>238</v>
      </c>
      <c r="J17" s="26" t="s">
        <v>129</v>
      </c>
      <c r="K17" s="55">
        <f t="shared" si="1"/>
        <v>0</v>
      </c>
      <c r="L17" s="24">
        <f>K17*50</f>
        <v>0</v>
      </c>
      <c r="M17" s="11"/>
      <c r="N17" s="23">
        <f>K17*100</f>
        <v>0</v>
      </c>
      <c r="O17" s="23"/>
      <c r="P17" s="24">
        <f t="shared" ref="P17:P88" si="3">K17*0</f>
        <v>0</v>
      </c>
      <c r="Q17" s="11"/>
      <c r="R17" s="33"/>
      <c r="S17" s="41"/>
    </row>
    <row r="18" spans="1:19" ht="17.399999999999999" x14ac:dyDescent="0.3">
      <c r="A18" s="40"/>
      <c r="B18" s="60"/>
      <c r="C18" s="34"/>
      <c r="D18" s="34"/>
      <c r="E18" s="34"/>
      <c r="F18" s="34"/>
      <c r="G18" s="34"/>
      <c r="H18" s="9"/>
      <c r="I18" s="25" t="s">
        <v>130</v>
      </c>
      <c r="J18" s="26" t="s">
        <v>98</v>
      </c>
      <c r="K18" s="55">
        <f t="shared" si="1"/>
        <v>0</v>
      </c>
      <c r="L18" s="24">
        <f>K18*25</f>
        <v>0</v>
      </c>
      <c r="M18" s="24">
        <f>K18*0</f>
        <v>0</v>
      </c>
      <c r="N18" s="24">
        <f>K18*30</f>
        <v>0</v>
      </c>
      <c r="O18" s="23">
        <f>K18*0</f>
        <v>0</v>
      </c>
      <c r="P18" s="24">
        <f>K18*5</f>
        <v>0</v>
      </c>
      <c r="Q18" s="24">
        <f>K18*0.99</f>
        <v>0</v>
      </c>
      <c r="R18" s="33"/>
      <c r="S18" s="41"/>
    </row>
    <row r="19" spans="1:19" ht="17.399999999999999" x14ac:dyDescent="0.3">
      <c r="A19" s="40"/>
      <c r="B19" s="60"/>
      <c r="C19" s="34"/>
      <c r="D19" s="34"/>
      <c r="E19" s="34"/>
      <c r="F19" s="34"/>
      <c r="G19" s="34"/>
      <c r="H19" s="9"/>
      <c r="I19" s="25" t="s">
        <v>240</v>
      </c>
      <c r="J19" s="26" t="s">
        <v>97</v>
      </c>
      <c r="K19" s="55">
        <f t="shared" si="1"/>
        <v>0</v>
      </c>
      <c r="L19" s="24">
        <f>K19*255</f>
        <v>0</v>
      </c>
      <c r="M19" s="11">
        <f>K19*17.5</f>
        <v>0</v>
      </c>
      <c r="N19" s="23">
        <f>K19*362.5</f>
        <v>0</v>
      </c>
      <c r="O19" s="23">
        <f>K19*277.5</f>
        <v>0</v>
      </c>
      <c r="P19" s="24">
        <f>K19*43.5</f>
        <v>0</v>
      </c>
      <c r="Q19" s="11">
        <f>K19*7</f>
        <v>0</v>
      </c>
      <c r="R19" s="33"/>
      <c r="S19" s="41"/>
    </row>
    <row r="20" spans="1:19" ht="17.399999999999999" x14ac:dyDescent="0.3">
      <c r="A20" s="40"/>
      <c r="B20" s="60"/>
      <c r="C20" s="34"/>
      <c r="D20" s="34"/>
      <c r="E20" s="34"/>
      <c r="F20" s="34"/>
      <c r="G20" s="34">
        <v>1</v>
      </c>
      <c r="H20" s="9"/>
      <c r="I20" s="25" t="s">
        <v>249</v>
      </c>
      <c r="J20" s="26" t="s">
        <v>97</v>
      </c>
      <c r="K20" s="55">
        <f t="shared" si="1"/>
        <v>1</v>
      </c>
      <c r="L20" s="24">
        <f>K20*255</f>
        <v>255</v>
      </c>
      <c r="M20" s="11">
        <f>K20*17.5</f>
        <v>17.5</v>
      </c>
      <c r="N20" s="23">
        <f>K20*287.5</f>
        <v>287.5</v>
      </c>
      <c r="O20" s="23">
        <f>K20*232.5</f>
        <v>232.5</v>
      </c>
      <c r="P20" s="24">
        <f>K20*45</f>
        <v>45</v>
      </c>
      <c r="Q20" s="11">
        <f>K20*5.5</f>
        <v>5.5</v>
      </c>
      <c r="R20" s="33"/>
      <c r="S20" s="41"/>
    </row>
    <row r="21" spans="1:19" ht="17.399999999999999" x14ac:dyDescent="0.3">
      <c r="A21" s="40"/>
      <c r="B21" s="60"/>
      <c r="C21" s="34"/>
      <c r="D21" s="34"/>
      <c r="E21" s="34"/>
      <c r="F21" s="34"/>
      <c r="G21" s="34"/>
      <c r="H21" s="9"/>
      <c r="I21" s="25" t="s">
        <v>241</v>
      </c>
      <c r="J21" s="26" t="s">
        <v>97</v>
      </c>
      <c r="K21" s="55">
        <f t="shared" si="1"/>
        <v>0</v>
      </c>
      <c r="L21" s="24">
        <f>K21*315</f>
        <v>0</v>
      </c>
      <c r="M21" s="11">
        <f>K21*17.5</f>
        <v>0</v>
      </c>
      <c r="N21" s="23">
        <f>K21*442.5</f>
        <v>0</v>
      </c>
      <c r="O21" s="23">
        <f>K21*265</f>
        <v>0</v>
      </c>
      <c r="P21" s="24">
        <f>K21*58</f>
        <v>0</v>
      </c>
      <c r="Q21" s="11">
        <f>K21*6</f>
        <v>0</v>
      </c>
      <c r="R21" s="33"/>
      <c r="S21" s="41"/>
    </row>
    <row r="22" spans="1:19" ht="17.399999999999999" x14ac:dyDescent="0.3">
      <c r="A22" s="40"/>
      <c r="B22" s="60"/>
      <c r="C22" s="34"/>
      <c r="D22" s="34"/>
      <c r="E22" s="34"/>
      <c r="F22" s="34"/>
      <c r="G22" s="34"/>
      <c r="H22" s="9"/>
      <c r="I22" s="25" t="s">
        <v>21</v>
      </c>
      <c r="J22" s="26" t="s">
        <v>95</v>
      </c>
      <c r="K22" s="55">
        <f t="shared" si="1"/>
        <v>0</v>
      </c>
      <c r="L22" s="24">
        <f>K22*60</f>
        <v>0</v>
      </c>
      <c r="M22" s="11">
        <f>K22*15</f>
        <v>0</v>
      </c>
      <c r="N22" s="23">
        <f>K22*270</f>
        <v>0</v>
      </c>
      <c r="O22" s="23">
        <f>K22*60</f>
        <v>0</v>
      </c>
      <c r="P22" s="24">
        <f>K22*1</f>
        <v>0</v>
      </c>
      <c r="Q22" s="11">
        <f>K22*4</f>
        <v>0</v>
      </c>
      <c r="R22" s="33"/>
      <c r="S22" s="41"/>
    </row>
    <row r="23" spans="1:19" ht="17.399999999999999" x14ac:dyDescent="0.3">
      <c r="A23" s="40"/>
      <c r="B23" s="60"/>
      <c r="C23" s="34"/>
      <c r="D23" s="34"/>
      <c r="E23" s="34"/>
      <c r="F23" s="34"/>
      <c r="G23" s="34"/>
      <c r="H23" s="9"/>
      <c r="I23" s="110" t="s">
        <v>247</v>
      </c>
      <c r="J23" s="26" t="s">
        <v>145</v>
      </c>
      <c r="K23" s="55">
        <f t="shared" si="1"/>
        <v>0</v>
      </c>
      <c r="L23" s="24">
        <f>K23*80</f>
        <v>0</v>
      </c>
      <c r="M23" s="11">
        <f>K23*5</f>
        <v>0</v>
      </c>
      <c r="N23" s="23">
        <f>K23*410</f>
        <v>0</v>
      </c>
      <c r="O23" s="23">
        <f>K23*0</f>
        <v>0</v>
      </c>
      <c r="P23" s="24">
        <f>K23*5</f>
        <v>0</v>
      </c>
      <c r="Q23" s="11">
        <f>K23*3</f>
        <v>0</v>
      </c>
      <c r="R23" s="33"/>
      <c r="S23" s="41"/>
    </row>
    <row r="24" spans="1:19" ht="17.399999999999999" x14ac:dyDescent="0.3">
      <c r="A24" s="40"/>
      <c r="B24" s="60"/>
      <c r="C24" s="34"/>
      <c r="D24" s="34"/>
      <c r="E24" s="34"/>
      <c r="F24" s="34"/>
      <c r="G24" s="34"/>
      <c r="H24" s="9"/>
      <c r="I24" s="25" t="s">
        <v>131</v>
      </c>
      <c r="J24" s="26" t="s">
        <v>45</v>
      </c>
      <c r="K24" s="55">
        <f t="shared" si="1"/>
        <v>0</v>
      </c>
      <c r="L24" s="49">
        <f>K24*1.64705882352941</f>
        <v>0</v>
      </c>
      <c r="M24" s="49">
        <f>K24*0.778571428571429</f>
        <v>0</v>
      </c>
      <c r="N24" s="49">
        <f>K24*0.671428571428571</f>
        <v>0</v>
      </c>
      <c r="O24" s="23">
        <f>K24*1.65714285714286</f>
        <v>0</v>
      </c>
      <c r="P24" s="24">
        <f t="shared" si="3"/>
        <v>0</v>
      </c>
      <c r="Q24" s="11">
        <f>K24*0.270588235294118</f>
        <v>0</v>
      </c>
      <c r="R24" s="33"/>
      <c r="S24" s="41"/>
    </row>
    <row r="25" spans="1:19" ht="17.399999999999999" x14ac:dyDescent="0.3">
      <c r="A25" s="40"/>
      <c r="B25" s="60"/>
      <c r="C25" s="34"/>
      <c r="D25" s="34"/>
      <c r="E25" s="34"/>
      <c r="F25" s="34"/>
      <c r="G25" s="34"/>
      <c r="H25" s="9"/>
      <c r="I25" s="110" t="s">
        <v>280</v>
      </c>
      <c r="J25" s="26" t="s">
        <v>279</v>
      </c>
      <c r="K25" s="55">
        <f t="shared" ref="K25" si="4">SUM(B25:G25)</f>
        <v>0</v>
      </c>
      <c r="L25" s="49">
        <f>K25*285</f>
        <v>0</v>
      </c>
      <c r="M25" s="49">
        <f>K25*105</f>
        <v>0</v>
      </c>
      <c r="N25" s="49">
        <f>K25*99</f>
        <v>0</v>
      </c>
      <c r="O25" s="23">
        <f>K25*261</f>
        <v>0</v>
      </c>
      <c r="P25" s="24">
        <f>K25*208</f>
        <v>0</v>
      </c>
      <c r="Q25" s="11">
        <f>K25*30</f>
        <v>0</v>
      </c>
      <c r="R25" s="33"/>
      <c r="S25" s="41"/>
    </row>
    <row r="26" spans="1:19" ht="17.399999999999999" x14ac:dyDescent="0.3">
      <c r="A26" s="40"/>
      <c r="B26" s="60"/>
      <c r="C26" s="34"/>
      <c r="D26" s="34"/>
      <c r="E26" s="34"/>
      <c r="F26" s="34"/>
      <c r="G26" s="34"/>
      <c r="H26" s="9"/>
      <c r="I26" s="25" t="s">
        <v>76</v>
      </c>
      <c r="J26" s="26" t="s">
        <v>101</v>
      </c>
      <c r="K26" s="55">
        <f t="shared" ref="K26:K42" si="5">SUM(B26:G26)</f>
        <v>0</v>
      </c>
      <c r="L26" s="24">
        <f>K26*271.5</f>
        <v>0</v>
      </c>
      <c r="M26" s="11">
        <f>K26*13.6</f>
        <v>0</v>
      </c>
      <c r="N26" s="23">
        <f>K26*216.2</f>
        <v>0</v>
      </c>
      <c r="O26" s="23">
        <f>K26*146.5</f>
        <v>0</v>
      </c>
      <c r="P26" s="24">
        <f t="shared" si="3"/>
        <v>0</v>
      </c>
      <c r="Q26" s="11">
        <f>K26*9.8</f>
        <v>0</v>
      </c>
      <c r="R26" s="33"/>
      <c r="S26" s="41"/>
    </row>
    <row r="27" spans="1:19" ht="17.399999999999999" x14ac:dyDescent="0.3">
      <c r="A27" s="40"/>
      <c r="B27" s="60"/>
      <c r="C27" s="34"/>
      <c r="D27" s="34"/>
      <c r="E27" s="34"/>
      <c r="F27" s="34"/>
      <c r="G27" s="34"/>
      <c r="H27" s="9"/>
      <c r="I27" s="25" t="s">
        <v>42</v>
      </c>
      <c r="J27" s="26" t="s">
        <v>97</v>
      </c>
      <c r="K27" s="55">
        <f t="shared" si="5"/>
        <v>0</v>
      </c>
      <c r="L27" s="24">
        <f>111.6*K27</f>
        <v>0</v>
      </c>
      <c r="M27" s="11">
        <f>6.5*K27</f>
        <v>0</v>
      </c>
      <c r="N27" s="23">
        <f>176.6*K27</f>
        <v>0</v>
      </c>
      <c r="O27" s="23">
        <f>151.4*K27</f>
        <v>0</v>
      </c>
      <c r="P27" s="24">
        <f>K27*19.3</f>
        <v>0</v>
      </c>
      <c r="Q27" s="11">
        <f>3.8*K27</f>
        <v>0</v>
      </c>
      <c r="R27" s="33"/>
      <c r="S27" s="41"/>
    </row>
    <row r="28" spans="1:19" ht="17.399999999999999" x14ac:dyDescent="0.3">
      <c r="A28" s="40"/>
      <c r="B28" s="60"/>
      <c r="C28" s="34"/>
      <c r="D28" s="34"/>
      <c r="E28" s="34"/>
      <c r="F28" s="34"/>
      <c r="G28" s="34"/>
      <c r="H28" s="9"/>
      <c r="I28" s="25" t="s">
        <v>232</v>
      </c>
      <c r="J28" s="26" t="s">
        <v>97</v>
      </c>
      <c r="K28" s="55">
        <f t="shared" si="5"/>
        <v>0</v>
      </c>
      <c r="L28" s="24">
        <f>K28*136.017857628635</f>
        <v>0</v>
      </c>
      <c r="M28" s="11">
        <f>K28*30.0880103115388</f>
        <v>0</v>
      </c>
      <c r="N28" s="23">
        <f>K28*221.414541607093</f>
        <v>0</v>
      </c>
      <c r="O28" s="23">
        <f>K28*165.482143448151</f>
        <v>0</v>
      </c>
      <c r="P28" s="24">
        <f>K28*3</f>
        <v>0</v>
      </c>
      <c r="Q28" s="11">
        <f>K28*5.22872450846994</f>
        <v>0</v>
      </c>
      <c r="R28" s="33"/>
      <c r="S28" s="41"/>
    </row>
    <row r="29" spans="1:19" ht="17.399999999999999" x14ac:dyDescent="0.3">
      <c r="A29" s="40"/>
      <c r="B29" s="60"/>
      <c r="C29" s="34"/>
      <c r="D29" s="34"/>
      <c r="E29" s="34"/>
      <c r="F29" s="34"/>
      <c r="G29" s="34"/>
      <c r="H29" s="9"/>
      <c r="I29" s="25" t="s">
        <v>233</v>
      </c>
      <c r="J29" s="26" t="s">
        <v>97</v>
      </c>
      <c r="K29" s="55">
        <f t="shared" si="5"/>
        <v>0</v>
      </c>
      <c r="L29" s="24">
        <f>K29*204.161443433727</f>
        <v>0</v>
      </c>
      <c r="M29" s="11">
        <f>K29*33.2257654247859</f>
        <v>0</v>
      </c>
      <c r="N29" s="23">
        <f>K29*228.283164080603</f>
        <v>0</v>
      </c>
      <c r="O29" s="23">
        <f>K29*214.308674234776</f>
        <v>0</v>
      </c>
      <c r="P29" s="24">
        <f t="shared" si="3"/>
        <v>0</v>
      </c>
      <c r="Q29" s="11">
        <f>K29*10.2741176837521</f>
        <v>0</v>
      </c>
      <c r="R29" s="33"/>
      <c r="S29" s="41"/>
    </row>
    <row r="30" spans="1:19" ht="17.399999999999999" x14ac:dyDescent="0.3">
      <c r="A30" s="40"/>
      <c r="B30" s="60"/>
      <c r="C30" s="34"/>
      <c r="D30" s="34"/>
      <c r="E30" s="34"/>
      <c r="F30" s="34"/>
      <c r="G30" s="34"/>
      <c r="H30" s="9"/>
      <c r="I30" s="25" t="s">
        <v>61</v>
      </c>
      <c r="J30" s="26" t="s">
        <v>102</v>
      </c>
      <c r="K30" s="55">
        <f t="shared" si="5"/>
        <v>0</v>
      </c>
      <c r="L30" s="24">
        <f>270*K30</f>
        <v>0</v>
      </c>
      <c r="M30" s="11">
        <f>45*K30</f>
        <v>0</v>
      </c>
      <c r="N30" s="23">
        <f>570*K30</f>
        <v>0</v>
      </c>
      <c r="O30" s="23">
        <f>0*K30</f>
        <v>0</v>
      </c>
      <c r="P30" s="24">
        <f t="shared" si="3"/>
        <v>0</v>
      </c>
      <c r="Q30" s="11">
        <f>10*K30</f>
        <v>0</v>
      </c>
      <c r="R30" s="33"/>
      <c r="S30" s="41"/>
    </row>
    <row r="31" spans="1:19" ht="17.399999999999999" x14ac:dyDescent="0.3">
      <c r="A31" s="40"/>
      <c r="B31" s="60"/>
      <c r="C31" s="34"/>
      <c r="D31" s="34"/>
      <c r="E31" s="34"/>
      <c r="F31" s="34"/>
      <c r="G31" s="34"/>
      <c r="H31" s="9"/>
      <c r="I31" s="65" t="s">
        <v>183</v>
      </c>
      <c r="J31" s="26" t="s">
        <v>112</v>
      </c>
      <c r="K31" s="55">
        <f t="shared" si="5"/>
        <v>0</v>
      </c>
      <c r="L31" s="24">
        <f>K31*215.367647058824</f>
        <v>0</v>
      </c>
      <c r="M31" s="11">
        <f>K31*30.1227678571429</f>
        <v>0</v>
      </c>
      <c r="N31" s="23">
        <f>K31*414.330357142857</f>
        <v>0</v>
      </c>
      <c r="O31" s="23">
        <f>K31*266.964285714286</f>
        <v>0</v>
      </c>
      <c r="P31" s="24">
        <f t="shared" si="3"/>
        <v>0</v>
      </c>
      <c r="Q31" s="11">
        <f>K31*13.1764705882353</f>
        <v>0</v>
      </c>
      <c r="R31" s="33"/>
      <c r="S31" s="41"/>
    </row>
    <row r="32" spans="1:19" ht="17.399999999999999" x14ac:dyDescent="0.3">
      <c r="A32" s="40"/>
      <c r="B32" s="60"/>
      <c r="C32" s="34"/>
      <c r="D32" s="34"/>
      <c r="E32" s="34"/>
      <c r="F32" s="34"/>
      <c r="G32" s="34"/>
      <c r="H32" s="9"/>
      <c r="I32" s="110" t="s">
        <v>262</v>
      </c>
      <c r="J32" s="26" t="s">
        <v>236</v>
      </c>
      <c r="K32" s="55">
        <f t="shared" si="5"/>
        <v>0</v>
      </c>
      <c r="L32" s="29">
        <f>K32*186</f>
        <v>0</v>
      </c>
      <c r="M32" s="29">
        <f>K32*51</f>
        <v>0</v>
      </c>
      <c r="N32" s="29">
        <f>K32*177</f>
        <v>0</v>
      </c>
      <c r="O32" s="23">
        <f>K32*279</f>
        <v>0</v>
      </c>
      <c r="P32" s="24">
        <f>K32*7</f>
        <v>0</v>
      </c>
      <c r="Q32" s="24">
        <f>K32*21</f>
        <v>0</v>
      </c>
      <c r="R32" s="33"/>
      <c r="S32" s="41"/>
    </row>
    <row r="33" spans="1:19" ht="17.399999999999999" x14ac:dyDescent="0.3">
      <c r="A33" s="40"/>
      <c r="B33" s="60"/>
      <c r="C33" s="34"/>
      <c r="D33" s="34"/>
      <c r="E33" s="34"/>
      <c r="F33" s="34"/>
      <c r="G33" s="34"/>
      <c r="H33" s="9"/>
      <c r="I33" s="25" t="s">
        <v>140</v>
      </c>
      <c r="J33" s="26" t="s">
        <v>141</v>
      </c>
      <c r="K33" s="55">
        <f t="shared" si="5"/>
        <v>0</v>
      </c>
      <c r="L33" s="29">
        <f>K33*359</f>
        <v>0</v>
      </c>
      <c r="M33" s="29">
        <f>K33*25.857</f>
        <v>0</v>
      </c>
      <c r="N33" s="29">
        <f>K33*270.88</f>
        <v>0</v>
      </c>
      <c r="O33" s="23">
        <f>K33*616.63</f>
        <v>0</v>
      </c>
      <c r="P33" s="24">
        <f t="shared" si="3"/>
        <v>0</v>
      </c>
      <c r="Q33" s="24">
        <f>K33*12.642</f>
        <v>0</v>
      </c>
      <c r="R33" s="33"/>
      <c r="S33" s="41"/>
    </row>
    <row r="34" spans="1:19" ht="17.399999999999999" x14ac:dyDescent="0.3">
      <c r="A34" s="40"/>
      <c r="B34" s="60"/>
      <c r="C34" s="34"/>
      <c r="D34" s="34"/>
      <c r="E34" s="34"/>
      <c r="F34" s="34"/>
      <c r="G34" s="34"/>
      <c r="H34" s="9"/>
      <c r="I34" s="25" t="s">
        <v>2</v>
      </c>
      <c r="J34" s="26" t="s">
        <v>97</v>
      </c>
      <c r="K34" s="55">
        <f t="shared" si="5"/>
        <v>0</v>
      </c>
      <c r="L34" s="24">
        <f>K34*276.160714285714</f>
        <v>0</v>
      </c>
      <c r="M34" s="11">
        <f>K34*34.2857142857143</f>
        <v>0</v>
      </c>
      <c r="N34" s="23">
        <f>K34*319.5</f>
        <v>0</v>
      </c>
      <c r="O34" s="23">
        <f>K34*980.25</f>
        <v>0</v>
      </c>
      <c r="P34" s="24">
        <f t="shared" si="3"/>
        <v>0</v>
      </c>
      <c r="Q34" s="11">
        <f>K34*17.3035714285714</f>
        <v>0</v>
      </c>
      <c r="R34" s="33"/>
      <c r="S34" s="41"/>
    </row>
    <row r="35" spans="1:19" ht="17.399999999999999" x14ac:dyDescent="0.3">
      <c r="A35" s="64"/>
      <c r="B35" s="60"/>
      <c r="C35" s="34"/>
      <c r="D35" s="34"/>
      <c r="E35" s="34"/>
      <c r="F35" s="34"/>
      <c r="G35" s="34"/>
      <c r="H35" s="9"/>
      <c r="I35" s="25" t="s">
        <v>142</v>
      </c>
      <c r="J35" s="26" t="s">
        <v>143</v>
      </c>
      <c r="K35" s="55">
        <f t="shared" si="5"/>
        <v>0</v>
      </c>
      <c r="L35" s="29">
        <f>268.125*K35</f>
        <v>0</v>
      </c>
      <c r="M35" s="29">
        <f>40.875*K35</f>
        <v>0</v>
      </c>
      <c r="N35" s="29">
        <f>44.625*K35</f>
        <v>0</v>
      </c>
      <c r="O35" s="23">
        <f>208*K35</f>
        <v>0</v>
      </c>
      <c r="P35" s="24">
        <f t="shared" si="3"/>
        <v>0</v>
      </c>
      <c r="Q35" s="24">
        <f>19.862*K35</f>
        <v>0</v>
      </c>
      <c r="R35" s="33"/>
      <c r="S35" s="41"/>
    </row>
    <row r="36" spans="1:19" ht="17.399999999999999" x14ac:dyDescent="0.3">
      <c r="A36" s="64"/>
      <c r="B36" s="60"/>
      <c r="C36" s="34"/>
      <c r="D36" s="34"/>
      <c r="E36" s="34"/>
      <c r="F36" s="34"/>
      <c r="G36" s="34"/>
      <c r="H36" s="9"/>
      <c r="I36" s="25" t="s">
        <v>3</v>
      </c>
      <c r="J36" s="26" t="s">
        <v>96</v>
      </c>
      <c r="K36" s="55">
        <f t="shared" si="5"/>
        <v>0</v>
      </c>
      <c r="L36" s="24">
        <f>K36*67</f>
        <v>0</v>
      </c>
      <c r="M36" s="11">
        <f>K36*0</f>
        <v>0</v>
      </c>
      <c r="N36" s="23">
        <f>K36*0</f>
        <v>0</v>
      </c>
      <c r="O36" s="23">
        <f>K36*0</f>
        <v>0</v>
      </c>
      <c r="P36" s="24">
        <f t="shared" si="3"/>
        <v>0</v>
      </c>
      <c r="Q36" s="11">
        <f>K36*1</f>
        <v>0</v>
      </c>
      <c r="R36" s="33"/>
      <c r="S36" s="41"/>
    </row>
    <row r="37" spans="1:19" ht="17.399999999999999" x14ac:dyDescent="0.3">
      <c r="A37" s="40"/>
      <c r="B37" s="60"/>
      <c r="C37" s="34"/>
      <c r="D37" s="34"/>
      <c r="E37" s="34"/>
      <c r="F37" s="34"/>
      <c r="G37" s="34"/>
      <c r="H37" s="9"/>
      <c r="I37" s="25" t="s">
        <v>57</v>
      </c>
      <c r="J37" s="26" t="s">
        <v>96</v>
      </c>
      <c r="K37" s="55">
        <f t="shared" si="5"/>
        <v>0</v>
      </c>
      <c r="L37" s="24">
        <f>140*K37</f>
        <v>0</v>
      </c>
      <c r="M37" s="11">
        <f>14*K37</f>
        <v>0</v>
      </c>
      <c r="N37" s="23">
        <f>67*K37</f>
        <v>0</v>
      </c>
      <c r="O37" s="23">
        <f>12*K37</f>
        <v>0</v>
      </c>
      <c r="P37" s="24">
        <f t="shared" si="3"/>
        <v>0</v>
      </c>
      <c r="Q37" s="11">
        <f>2*K37</f>
        <v>0</v>
      </c>
      <c r="R37" s="33"/>
      <c r="S37" s="41"/>
    </row>
    <row r="38" spans="1:19" ht="17.399999999999999" x14ac:dyDescent="0.3">
      <c r="A38" s="40"/>
      <c r="B38" s="53"/>
      <c r="C38" s="54"/>
      <c r="D38" s="54"/>
      <c r="E38" s="54"/>
      <c r="F38" s="54"/>
      <c r="G38" s="34"/>
      <c r="H38" s="9"/>
      <c r="I38" s="25" t="s">
        <v>144</v>
      </c>
      <c r="J38" s="26" t="s">
        <v>112</v>
      </c>
      <c r="K38" s="55">
        <f t="shared" si="5"/>
        <v>0</v>
      </c>
      <c r="L38" s="29">
        <f>K38*277.5</f>
        <v>0</v>
      </c>
      <c r="M38" s="29">
        <f>K38*6.5625</f>
        <v>0</v>
      </c>
      <c r="N38" s="29">
        <f>K38*305</f>
        <v>0</v>
      </c>
      <c r="O38" s="23">
        <f>K38*71.25</f>
        <v>0</v>
      </c>
      <c r="P38" s="24">
        <f t="shared" si="3"/>
        <v>0</v>
      </c>
      <c r="Q38" s="24">
        <f>K38*2.25</f>
        <v>0</v>
      </c>
      <c r="R38" s="33"/>
      <c r="S38" s="41"/>
    </row>
    <row r="39" spans="1:19" ht="17.399999999999999" x14ac:dyDescent="0.3">
      <c r="A39" s="40"/>
      <c r="B39" s="53"/>
      <c r="C39" s="54"/>
      <c r="D39" s="54"/>
      <c r="E39" s="54"/>
      <c r="F39" s="54"/>
      <c r="G39" s="34"/>
      <c r="H39" s="9"/>
      <c r="I39" s="25" t="s">
        <v>246</v>
      </c>
      <c r="J39" s="26" t="s">
        <v>96</v>
      </c>
      <c r="K39" s="55">
        <f t="shared" si="5"/>
        <v>0</v>
      </c>
      <c r="L39" s="29">
        <f>K39*300</f>
        <v>0</v>
      </c>
      <c r="M39" s="29">
        <f>K39*0</f>
        <v>0</v>
      </c>
      <c r="N39" s="29">
        <f>K39*540</f>
        <v>0</v>
      </c>
      <c r="O39" s="23">
        <f>K39*0</f>
        <v>0</v>
      </c>
      <c r="P39" s="24">
        <f>K39*54</f>
        <v>0</v>
      </c>
      <c r="Q39" s="24">
        <f>K39*5</f>
        <v>0</v>
      </c>
      <c r="R39" s="33"/>
      <c r="S39" s="41"/>
    </row>
    <row r="40" spans="1:19" ht="17.399999999999999" x14ac:dyDescent="0.45">
      <c r="A40" s="40"/>
      <c r="B40" s="61"/>
      <c r="C40" s="36"/>
      <c r="D40" s="36"/>
      <c r="E40" s="36"/>
      <c r="F40" s="36"/>
      <c r="G40" s="34"/>
      <c r="H40" s="9"/>
      <c r="I40" s="25" t="s">
        <v>35</v>
      </c>
      <c r="J40" s="26" t="s">
        <v>145</v>
      </c>
      <c r="K40" s="55">
        <f t="shared" si="5"/>
        <v>0</v>
      </c>
      <c r="L40" s="24">
        <f>K40*25</f>
        <v>0</v>
      </c>
      <c r="M40" s="11">
        <v>0</v>
      </c>
      <c r="N40" s="23">
        <v>0</v>
      </c>
      <c r="O40" s="23">
        <v>0</v>
      </c>
      <c r="P40" s="24">
        <f t="shared" si="3"/>
        <v>0</v>
      </c>
      <c r="Q40" s="11">
        <v>0</v>
      </c>
      <c r="R40" s="33"/>
      <c r="S40" s="41"/>
    </row>
    <row r="41" spans="1:19" ht="17.399999999999999" x14ac:dyDescent="0.3">
      <c r="A41" s="40"/>
      <c r="B41" s="35"/>
      <c r="C41" s="34"/>
      <c r="D41" s="34"/>
      <c r="E41" s="34"/>
      <c r="F41" s="34"/>
      <c r="G41" s="34"/>
      <c r="H41" s="9"/>
      <c r="I41" s="25" t="s">
        <v>55</v>
      </c>
      <c r="J41" s="26" t="s">
        <v>103</v>
      </c>
      <c r="K41" s="55">
        <f t="shared" si="5"/>
        <v>0</v>
      </c>
      <c r="L41" s="24">
        <f>60*K41</f>
        <v>0</v>
      </c>
      <c r="M41" s="11">
        <f>0*K41</f>
        <v>0</v>
      </c>
      <c r="N41" s="23">
        <f>10*K41</f>
        <v>0</v>
      </c>
      <c r="O41" s="23">
        <f>80*K41</f>
        <v>0</v>
      </c>
      <c r="P41" s="24">
        <f t="shared" si="3"/>
        <v>0</v>
      </c>
      <c r="Q41" s="11">
        <f>2*K41</f>
        <v>0</v>
      </c>
      <c r="R41" s="33"/>
      <c r="S41" s="41"/>
    </row>
    <row r="42" spans="1:19" ht="17.399999999999999" x14ac:dyDescent="0.3">
      <c r="A42" s="40"/>
      <c r="B42" s="35"/>
      <c r="C42" s="34"/>
      <c r="D42" s="34"/>
      <c r="E42" s="34"/>
      <c r="F42" s="34"/>
      <c r="G42" s="34"/>
      <c r="H42" s="9"/>
      <c r="I42" s="65" t="s">
        <v>194</v>
      </c>
      <c r="J42" s="26" t="s">
        <v>96</v>
      </c>
      <c r="K42" s="55">
        <f t="shared" si="5"/>
        <v>0</v>
      </c>
      <c r="L42" s="24">
        <f>90*K42</f>
        <v>0</v>
      </c>
      <c r="M42" s="11">
        <f>0*K42</f>
        <v>0</v>
      </c>
      <c r="N42" s="23">
        <f>0*K42</f>
        <v>0</v>
      </c>
      <c r="O42" s="23">
        <f>180*K42</f>
        <v>0</v>
      </c>
      <c r="P42" s="24">
        <f t="shared" si="3"/>
        <v>0</v>
      </c>
      <c r="Q42" s="11">
        <f>3*K42</f>
        <v>0</v>
      </c>
      <c r="R42" s="33"/>
      <c r="S42" s="41"/>
    </row>
    <row r="43" spans="1:19" ht="17.399999999999999" x14ac:dyDescent="0.3">
      <c r="A43" s="40"/>
      <c r="B43" s="35"/>
      <c r="C43" s="34"/>
      <c r="D43" s="34"/>
      <c r="E43" s="34"/>
      <c r="F43" s="34"/>
      <c r="G43" s="34">
        <v>1</v>
      </c>
      <c r="H43" s="9"/>
      <c r="I43" s="110" t="s">
        <v>283</v>
      </c>
      <c r="J43" s="26" t="s">
        <v>284</v>
      </c>
      <c r="K43" s="55">
        <f t="shared" ref="K43" si="6">SUM(B43:G43)</f>
        <v>1</v>
      </c>
      <c r="L43" s="24">
        <f>K43*380</f>
        <v>380</v>
      </c>
      <c r="M43" s="11">
        <f>K43*80</f>
        <v>80</v>
      </c>
      <c r="N43" s="23">
        <f>K43*990</f>
        <v>990</v>
      </c>
      <c r="O43" s="23">
        <f>K43*0</f>
        <v>0</v>
      </c>
      <c r="P43" s="24">
        <f>K43*22</f>
        <v>22</v>
      </c>
      <c r="Q43" s="11">
        <f>K43*18</f>
        <v>18</v>
      </c>
      <c r="R43" s="33"/>
      <c r="S43" s="41"/>
    </row>
    <row r="44" spans="1:19" ht="17.399999999999999" x14ac:dyDescent="0.45">
      <c r="A44" s="40"/>
      <c r="B44" s="61"/>
      <c r="C44" s="36"/>
      <c r="D44" s="36"/>
      <c r="E44" s="36"/>
      <c r="F44" s="36"/>
      <c r="G44" s="34"/>
      <c r="H44" s="9"/>
      <c r="I44" s="25" t="s">
        <v>18</v>
      </c>
      <c r="J44" s="27" t="s">
        <v>104</v>
      </c>
      <c r="K44" s="55">
        <f t="shared" ref="K44:K75" si="7">SUM(B44:G44)</f>
        <v>0</v>
      </c>
      <c r="L44" s="24">
        <f>K44*120</f>
        <v>0</v>
      </c>
      <c r="M44" s="11">
        <f>0*K44</f>
        <v>0</v>
      </c>
      <c r="N44" s="23">
        <f>K44*300</f>
        <v>0</v>
      </c>
      <c r="O44" s="23">
        <f>K44*0</f>
        <v>0</v>
      </c>
      <c r="P44" s="24">
        <f t="shared" si="3"/>
        <v>0</v>
      </c>
      <c r="Q44" s="11">
        <f>K44*2</f>
        <v>0</v>
      </c>
      <c r="R44" s="33"/>
      <c r="S44" s="41"/>
    </row>
    <row r="45" spans="1:19" ht="17.399999999999999" x14ac:dyDescent="0.45">
      <c r="A45" s="40"/>
      <c r="B45" s="61"/>
      <c r="C45" s="36"/>
      <c r="D45" s="36"/>
      <c r="E45" s="36"/>
      <c r="F45" s="36"/>
      <c r="G45" s="34"/>
      <c r="H45" s="9"/>
      <c r="I45" s="65" t="s">
        <v>181</v>
      </c>
      <c r="J45" s="26" t="s">
        <v>182</v>
      </c>
      <c r="K45" s="55">
        <f t="shared" si="7"/>
        <v>0</v>
      </c>
      <c r="L45" s="24">
        <f>K45*(130/8)</f>
        <v>0</v>
      </c>
      <c r="M45" s="11">
        <f>0*K45</f>
        <v>0</v>
      </c>
      <c r="N45" s="23">
        <f>K45*(35/8)</f>
        <v>0</v>
      </c>
      <c r="O45" s="23">
        <f>K45*(180/8)</f>
        <v>0</v>
      </c>
      <c r="P45" s="24">
        <f t="shared" si="3"/>
        <v>0</v>
      </c>
      <c r="Q45" s="11">
        <f>K45*0</f>
        <v>0</v>
      </c>
      <c r="R45" s="33"/>
      <c r="S45" s="41"/>
    </row>
    <row r="46" spans="1:19" ht="17.399999999999999" x14ac:dyDescent="0.3">
      <c r="A46" s="40"/>
      <c r="B46" s="60"/>
      <c r="C46" s="34"/>
      <c r="D46" s="34"/>
      <c r="E46" s="34"/>
      <c r="F46" s="34"/>
      <c r="G46" s="34"/>
      <c r="H46" s="9"/>
      <c r="I46" s="25" t="s">
        <v>122</v>
      </c>
      <c r="J46" s="26" t="s">
        <v>96</v>
      </c>
      <c r="K46" s="55">
        <f t="shared" si="7"/>
        <v>0</v>
      </c>
      <c r="L46" s="29">
        <f>K46*(8/52)</f>
        <v>0</v>
      </c>
      <c r="M46" s="29">
        <f>K46*0</f>
        <v>0</v>
      </c>
      <c r="N46" s="29">
        <f>K46*(1/52)</f>
        <v>0</v>
      </c>
      <c r="O46" s="23">
        <f>K46*(76/52)</f>
        <v>0</v>
      </c>
      <c r="P46" s="24">
        <f t="shared" si="3"/>
        <v>0</v>
      </c>
      <c r="Q46" s="11">
        <f>K46*(0.3/52)</f>
        <v>0</v>
      </c>
      <c r="R46" s="33"/>
      <c r="S46" s="41"/>
    </row>
    <row r="47" spans="1:19" ht="17.399999999999999" x14ac:dyDescent="0.3">
      <c r="A47" s="40"/>
      <c r="B47" s="60"/>
      <c r="C47" s="34"/>
      <c r="D47" s="34"/>
      <c r="E47" s="34"/>
      <c r="F47" s="34"/>
      <c r="G47" s="34"/>
      <c r="H47" s="9"/>
      <c r="I47" s="25" t="s">
        <v>39</v>
      </c>
      <c r="J47" s="26" t="s">
        <v>95</v>
      </c>
      <c r="K47" s="55">
        <f t="shared" si="7"/>
        <v>0</v>
      </c>
      <c r="L47" s="24">
        <f>67*K47</f>
        <v>0</v>
      </c>
      <c r="M47" s="11">
        <f>0*K47</f>
        <v>0</v>
      </c>
      <c r="N47" s="23">
        <f>75*K47</f>
        <v>0</v>
      </c>
      <c r="O47" s="23">
        <f>18*K47</f>
        <v>0</v>
      </c>
      <c r="P47" s="24">
        <f t="shared" si="3"/>
        <v>0</v>
      </c>
      <c r="Q47" s="11">
        <f>0.5*K47</f>
        <v>0</v>
      </c>
      <c r="R47" s="33"/>
      <c r="S47" s="41"/>
    </row>
    <row r="48" spans="1:19" ht="17.399999999999999" x14ac:dyDescent="0.3">
      <c r="A48" s="40"/>
      <c r="B48" s="60"/>
      <c r="C48" s="34"/>
      <c r="D48" s="34"/>
      <c r="E48" s="34"/>
      <c r="F48" s="34"/>
      <c r="G48" s="34"/>
      <c r="H48" s="9"/>
      <c r="I48" s="25" t="s">
        <v>40</v>
      </c>
      <c r="J48" s="26" t="s">
        <v>146</v>
      </c>
      <c r="K48" s="55">
        <f t="shared" si="7"/>
        <v>0</v>
      </c>
      <c r="L48" s="24">
        <f t="shared" ref="L48" si="8">67*K48</f>
        <v>0</v>
      </c>
      <c r="M48" s="11">
        <f t="shared" ref="M48:M49" si="9">0*K48</f>
        <v>0</v>
      </c>
      <c r="N48" s="23">
        <f t="shared" ref="N48" si="10">75*K48</f>
        <v>0</v>
      </c>
      <c r="O48" s="23">
        <f t="shared" ref="O48" si="11">18*K48</f>
        <v>0</v>
      </c>
      <c r="P48" s="24">
        <f t="shared" si="3"/>
        <v>0</v>
      </c>
      <c r="Q48" s="11">
        <f t="shared" ref="Q48" si="12">0.5*K48</f>
        <v>0</v>
      </c>
      <c r="R48" s="33"/>
      <c r="S48" s="41"/>
    </row>
    <row r="49" spans="1:19" ht="17.399999999999999" x14ac:dyDescent="0.3">
      <c r="A49" s="40"/>
      <c r="B49" s="60"/>
      <c r="C49" s="34"/>
      <c r="D49" s="34"/>
      <c r="E49" s="34"/>
      <c r="F49" s="34"/>
      <c r="G49" s="34"/>
      <c r="H49" s="9"/>
      <c r="I49" s="96" t="s">
        <v>231</v>
      </c>
      <c r="J49" s="26" t="s">
        <v>230</v>
      </c>
      <c r="K49" s="55">
        <f t="shared" si="7"/>
        <v>0</v>
      </c>
      <c r="L49" s="24">
        <f>20*K49</f>
        <v>0</v>
      </c>
      <c r="M49" s="11">
        <f t="shared" si="9"/>
        <v>0</v>
      </c>
      <c r="N49" s="23">
        <f>0*K49</f>
        <v>0</v>
      </c>
      <c r="O49" s="23">
        <f>0*K49</f>
        <v>0</v>
      </c>
      <c r="P49" s="24">
        <f t="shared" si="3"/>
        <v>0</v>
      </c>
      <c r="Q49" s="11">
        <f>7*K49</f>
        <v>0</v>
      </c>
      <c r="R49" s="33"/>
      <c r="S49" s="41"/>
    </row>
    <row r="50" spans="1:19" ht="17.399999999999999" x14ac:dyDescent="0.3">
      <c r="A50" s="40"/>
      <c r="B50" s="60"/>
      <c r="C50" s="34"/>
      <c r="D50" s="34"/>
      <c r="E50" s="34"/>
      <c r="F50" s="34"/>
      <c r="G50" s="34"/>
      <c r="H50" s="9"/>
      <c r="I50" s="25" t="s">
        <v>58</v>
      </c>
      <c r="J50" s="26" t="s">
        <v>45</v>
      </c>
      <c r="K50" s="55">
        <f t="shared" si="7"/>
        <v>0</v>
      </c>
      <c r="L50" s="24">
        <f>(70/113)*K50</f>
        <v>0</v>
      </c>
      <c r="M50" s="11">
        <f>(45/113)*K50</f>
        <v>0</v>
      </c>
      <c r="N50" s="23">
        <f>(290/113)*K50</f>
        <v>0</v>
      </c>
      <c r="O50" s="23">
        <f>0*K50</f>
        <v>0</v>
      </c>
      <c r="P50" s="24">
        <f t="shared" si="3"/>
        <v>0</v>
      </c>
      <c r="Q50" s="11">
        <f>(15/113)*K50</f>
        <v>0</v>
      </c>
      <c r="R50" s="33"/>
      <c r="S50" s="41"/>
    </row>
    <row r="51" spans="1:19" ht="17.399999999999999" x14ac:dyDescent="0.3">
      <c r="A51" s="40"/>
      <c r="B51" s="35"/>
      <c r="C51" s="34"/>
      <c r="D51" s="34"/>
      <c r="E51" s="34"/>
      <c r="F51" s="34"/>
      <c r="G51" s="34"/>
      <c r="H51" s="9"/>
      <c r="I51" s="25" t="s">
        <v>23</v>
      </c>
      <c r="J51" s="26" t="s">
        <v>105</v>
      </c>
      <c r="K51" s="55">
        <f t="shared" si="7"/>
        <v>0</v>
      </c>
      <c r="L51" s="24">
        <f>K51*240</f>
        <v>0</v>
      </c>
      <c r="M51" s="11">
        <f>K51*25</f>
        <v>0</v>
      </c>
      <c r="N51" s="23">
        <f>K51*530</f>
        <v>0</v>
      </c>
      <c r="O51" s="23">
        <f>K51*180</f>
        <v>0</v>
      </c>
      <c r="P51" s="24">
        <f t="shared" si="3"/>
        <v>0</v>
      </c>
      <c r="Q51" s="11">
        <f>K51*10</f>
        <v>0</v>
      </c>
      <c r="R51" s="33"/>
      <c r="S51" s="41"/>
    </row>
    <row r="52" spans="1:19" ht="17.399999999999999" x14ac:dyDescent="0.3">
      <c r="A52" s="40"/>
      <c r="B52" s="35"/>
      <c r="C52" s="34"/>
      <c r="D52" s="34"/>
      <c r="E52" s="34"/>
      <c r="F52" s="34"/>
      <c r="G52" s="34"/>
      <c r="H52" s="9"/>
      <c r="I52" s="25" t="s">
        <v>123</v>
      </c>
      <c r="J52" s="26" t="s">
        <v>45</v>
      </c>
      <c r="K52" s="55">
        <f t="shared" si="7"/>
        <v>0</v>
      </c>
      <c r="L52" s="29">
        <f>K52*(120/85)</f>
        <v>0</v>
      </c>
      <c r="M52" s="29">
        <f>K52*(0/85)</f>
        <v>0</v>
      </c>
      <c r="N52" s="29">
        <f>K52*(280/85)</f>
        <v>0</v>
      </c>
      <c r="O52" s="23">
        <f>K52*(400/85)</f>
        <v>0</v>
      </c>
      <c r="P52" s="24">
        <f t="shared" si="3"/>
        <v>0</v>
      </c>
      <c r="Q52" s="11">
        <f>K52*(2/85)</f>
        <v>0</v>
      </c>
      <c r="R52" s="33"/>
      <c r="S52" s="41"/>
    </row>
    <row r="53" spans="1:19" ht="17.399999999999999" x14ac:dyDescent="0.3">
      <c r="A53" s="40"/>
      <c r="B53" s="35"/>
      <c r="C53" s="34"/>
      <c r="D53" s="34"/>
      <c r="E53" s="34"/>
      <c r="F53" s="34"/>
      <c r="G53" s="34"/>
      <c r="H53" s="9"/>
      <c r="I53" s="65" t="s">
        <v>186</v>
      </c>
      <c r="J53" s="26" t="s">
        <v>145</v>
      </c>
      <c r="K53" s="55">
        <f t="shared" si="7"/>
        <v>0</v>
      </c>
      <c r="L53" s="29">
        <f>K53*60</f>
        <v>0</v>
      </c>
      <c r="M53" s="29">
        <f>K53*0</f>
        <v>0</v>
      </c>
      <c r="N53" s="29">
        <f>K53*170</f>
        <v>0</v>
      </c>
      <c r="O53" s="23">
        <f>K53*0</f>
        <v>0</v>
      </c>
      <c r="P53" s="24">
        <f t="shared" si="3"/>
        <v>0</v>
      </c>
      <c r="Q53" s="11">
        <f>K53*1</f>
        <v>0</v>
      </c>
      <c r="R53" s="33"/>
      <c r="S53" s="41"/>
    </row>
    <row r="54" spans="1:19" ht="17.399999999999999" x14ac:dyDescent="0.3">
      <c r="A54" s="40"/>
      <c r="B54" s="35"/>
      <c r="C54" s="34"/>
      <c r="D54" s="34"/>
      <c r="E54" s="34"/>
      <c r="F54" s="34"/>
      <c r="G54" s="34"/>
      <c r="H54" s="9"/>
      <c r="I54" s="25" t="s">
        <v>125</v>
      </c>
      <c r="J54" s="26" t="s">
        <v>99</v>
      </c>
      <c r="K54" s="55">
        <f t="shared" si="7"/>
        <v>0</v>
      </c>
      <c r="L54" s="29">
        <f>K54*(3.5*40)</f>
        <v>0</v>
      </c>
      <c r="M54" s="29">
        <f>K54*0</f>
        <v>0</v>
      </c>
      <c r="N54" s="29">
        <f>K54*(3.5*5)</f>
        <v>0</v>
      </c>
      <c r="O54" s="23">
        <f>K54*(3.5*80)</f>
        <v>0</v>
      </c>
      <c r="P54" s="24">
        <f t="shared" si="3"/>
        <v>0</v>
      </c>
      <c r="Q54" s="11">
        <f>K54*0</f>
        <v>0</v>
      </c>
      <c r="R54" s="33"/>
      <c r="S54" s="41"/>
    </row>
    <row r="55" spans="1:19" ht="17.399999999999999" x14ac:dyDescent="0.3">
      <c r="A55" s="40"/>
      <c r="B55" s="35"/>
      <c r="C55" s="34"/>
      <c r="D55" s="34"/>
      <c r="E55" s="34"/>
      <c r="F55" s="34"/>
      <c r="G55" s="34"/>
      <c r="H55" s="9"/>
      <c r="I55" s="25" t="s">
        <v>41</v>
      </c>
      <c r="J55" s="26" t="s">
        <v>95</v>
      </c>
      <c r="K55" s="55">
        <f t="shared" si="7"/>
        <v>0</v>
      </c>
      <c r="L55" s="24">
        <f>801*K55</f>
        <v>0</v>
      </c>
      <c r="M55" s="11">
        <f>215*K55</f>
        <v>0</v>
      </c>
      <c r="N55" s="23">
        <f>227*K55</f>
        <v>0</v>
      </c>
      <c r="O55" s="23">
        <v>0</v>
      </c>
      <c r="P55" s="24">
        <f t="shared" si="3"/>
        <v>0</v>
      </c>
      <c r="Q55" s="11">
        <f>12*K55</f>
        <v>0</v>
      </c>
      <c r="R55" s="33"/>
      <c r="S55" s="41"/>
    </row>
    <row r="56" spans="1:19" ht="17.399999999999999" x14ac:dyDescent="0.3">
      <c r="A56" s="40"/>
      <c r="B56" s="35"/>
      <c r="C56" s="34"/>
      <c r="D56" s="34"/>
      <c r="E56" s="34"/>
      <c r="F56" s="34"/>
      <c r="G56" s="34"/>
      <c r="H56" s="9"/>
      <c r="I56" s="25" t="s">
        <v>64</v>
      </c>
      <c r="J56" s="26" t="s">
        <v>65</v>
      </c>
      <c r="K56" s="55">
        <f t="shared" si="7"/>
        <v>0</v>
      </c>
      <c r="L56" s="24">
        <f>130*K56</f>
        <v>0</v>
      </c>
      <c r="M56" s="11">
        <f>4*K56</f>
        <v>0</v>
      </c>
      <c r="N56" s="23">
        <f>240*K56</f>
        <v>0</v>
      </c>
      <c r="O56" s="23">
        <f>0*K56</f>
        <v>0</v>
      </c>
      <c r="P56" s="24">
        <f t="shared" si="3"/>
        <v>0</v>
      </c>
      <c r="Q56" s="11">
        <f>3*K56</f>
        <v>0</v>
      </c>
      <c r="R56" s="33"/>
      <c r="S56" s="41"/>
    </row>
    <row r="57" spans="1:19" ht="17.399999999999999" x14ac:dyDescent="0.3">
      <c r="A57" s="40"/>
      <c r="B57" s="35"/>
      <c r="C57" s="34"/>
      <c r="D57" s="34"/>
      <c r="E57" s="34"/>
      <c r="F57" s="34"/>
      <c r="G57" s="34"/>
      <c r="H57" s="9"/>
      <c r="I57" s="25" t="s">
        <v>83</v>
      </c>
      <c r="J57" s="26" t="s">
        <v>129</v>
      </c>
      <c r="K57" s="55">
        <f t="shared" si="7"/>
        <v>0</v>
      </c>
      <c r="L57" s="24">
        <f>K57*5</f>
        <v>0</v>
      </c>
      <c r="M57" s="11">
        <f>K57*0</f>
        <v>0</v>
      </c>
      <c r="N57" s="23">
        <f>K57*16</f>
        <v>0</v>
      </c>
      <c r="O57" s="23">
        <f>K57*276</f>
        <v>0</v>
      </c>
      <c r="P57" s="24">
        <f t="shared" si="3"/>
        <v>0</v>
      </c>
      <c r="Q57" s="11">
        <f>K57*0.3</f>
        <v>0</v>
      </c>
      <c r="R57" s="33"/>
      <c r="S57" s="41"/>
    </row>
    <row r="58" spans="1:19" ht="17.399999999999999" x14ac:dyDescent="0.3">
      <c r="A58" s="40"/>
      <c r="B58" s="35"/>
      <c r="C58" s="34"/>
      <c r="D58" s="34"/>
      <c r="E58" s="34"/>
      <c r="F58" s="34"/>
      <c r="G58" s="34"/>
      <c r="H58" s="9"/>
      <c r="I58" s="25" t="s">
        <v>114</v>
      </c>
      <c r="J58" s="26" t="s">
        <v>115</v>
      </c>
      <c r="K58" s="55">
        <f t="shared" si="7"/>
        <v>0</v>
      </c>
      <c r="L58" s="24">
        <f>K58*182</f>
        <v>0</v>
      </c>
      <c r="M58" s="11">
        <f>K58*15</f>
        <v>0</v>
      </c>
      <c r="N58" s="23">
        <f>K58*491</f>
        <v>0</v>
      </c>
      <c r="O58" s="23">
        <f>K58*60</f>
        <v>0</v>
      </c>
      <c r="P58" s="24">
        <f t="shared" si="3"/>
        <v>0</v>
      </c>
      <c r="Q58" s="11">
        <f>K58*9</f>
        <v>0</v>
      </c>
      <c r="R58" s="33"/>
      <c r="S58" s="41"/>
    </row>
    <row r="59" spans="1:19" ht="17.399999999999999" x14ac:dyDescent="0.3">
      <c r="A59" s="40"/>
      <c r="B59" s="35"/>
      <c r="C59" s="34"/>
      <c r="D59" s="34"/>
      <c r="E59" s="34"/>
      <c r="F59" s="34"/>
      <c r="G59" s="34"/>
      <c r="H59" s="9"/>
      <c r="I59" s="25" t="s">
        <v>37</v>
      </c>
      <c r="J59" s="26" t="s">
        <v>45</v>
      </c>
      <c r="K59" s="55">
        <f t="shared" si="7"/>
        <v>0</v>
      </c>
      <c r="L59" s="24">
        <f>(60/56)*K59</f>
        <v>0</v>
      </c>
      <c r="M59" s="11">
        <f>(25/56)*K59</f>
        <v>0</v>
      </c>
      <c r="N59" s="23">
        <f>(630/56)*K59</f>
        <v>0</v>
      </c>
      <c r="O59" s="23">
        <f>K59*4.7037037037037</f>
        <v>0</v>
      </c>
      <c r="P59" s="24">
        <f t="shared" si="3"/>
        <v>0</v>
      </c>
      <c r="Q59" s="11">
        <f>(9/56)*K59</f>
        <v>0</v>
      </c>
      <c r="R59" s="33"/>
      <c r="S59" s="41"/>
    </row>
    <row r="60" spans="1:19" ht="17.399999999999999" x14ac:dyDescent="0.3">
      <c r="A60" s="40"/>
      <c r="B60" s="35"/>
      <c r="C60" s="34"/>
      <c r="D60" s="34"/>
      <c r="E60" s="34"/>
      <c r="F60" s="34"/>
      <c r="G60" s="34"/>
      <c r="H60" s="9"/>
      <c r="I60" s="110" t="s">
        <v>250</v>
      </c>
      <c r="J60" s="26" t="s">
        <v>112</v>
      </c>
      <c r="K60" s="55">
        <f t="shared" si="7"/>
        <v>0</v>
      </c>
      <c r="L60" s="24">
        <f>(100)*K60</f>
        <v>0</v>
      </c>
      <c r="M60" s="11">
        <f>(40)*K60</f>
        <v>0</v>
      </c>
      <c r="N60" s="23">
        <f>(1050)*K60</f>
        <v>0</v>
      </c>
      <c r="O60" s="23">
        <f>K60*0</f>
        <v>0</v>
      </c>
      <c r="P60" s="24">
        <f>K60*1</f>
        <v>0</v>
      </c>
      <c r="Q60" s="11">
        <f>(14)*K60</f>
        <v>0</v>
      </c>
      <c r="R60" s="33"/>
      <c r="S60" s="41"/>
    </row>
    <row r="61" spans="1:19" ht="17.399999999999999" x14ac:dyDescent="0.3">
      <c r="A61" s="40"/>
      <c r="B61" s="35"/>
      <c r="C61" s="34"/>
      <c r="D61" s="34"/>
      <c r="E61" s="34"/>
      <c r="F61" s="34"/>
      <c r="G61" s="34"/>
      <c r="H61" s="9"/>
      <c r="I61" s="25" t="s">
        <v>88</v>
      </c>
      <c r="J61" s="26" t="s">
        <v>89</v>
      </c>
      <c r="K61" s="55">
        <f t="shared" si="7"/>
        <v>0</v>
      </c>
      <c r="L61" s="24">
        <f>K61*30</f>
        <v>0</v>
      </c>
      <c r="M61" s="11">
        <f>K61*10</f>
        <v>0</v>
      </c>
      <c r="N61" s="23">
        <f>MC47*220</f>
        <v>0</v>
      </c>
      <c r="O61" s="23">
        <f>K61*100</f>
        <v>0</v>
      </c>
      <c r="P61" s="24">
        <f t="shared" si="3"/>
        <v>0</v>
      </c>
      <c r="Q61" s="11">
        <f>K61*5</f>
        <v>0</v>
      </c>
      <c r="R61" s="33"/>
      <c r="S61" s="41"/>
    </row>
    <row r="62" spans="1:19" ht="17.399999999999999" x14ac:dyDescent="0.3">
      <c r="A62" s="40"/>
      <c r="B62" s="35"/>
      <c r="C62" s="34"/>
      <c r="D62" s="34"/>
      <c r="E62" s="34"/>
      <c r="F62" s="34"/>
      <c r="G62" s="34"/>
      <c r="H62" s="9"/>
      <c r="I62" s="56" t="s">
        <v>147</v>
      </c>
      <c r="J62" s="26" t="s">
        <v>89</v>
      </c>
      <c r="K62" s="55">
        <f t="shared" si="7"/>
        <v>0</v>
      </c>
      <c r="L62" s="24">
        <f>K62*50</f>
        <v>0</v>
      </c>
      <c r="M62" s="24">
        <f>K62*15</f>
        <v>0</v>
      </c>
      <c r="N62" s="24">
        <f>K62*240</f>
        <v>0</v>
      </c>
      <c r="O62" s="23">
        <f>K62*0</f>
        <v>0</v>
      </c>
      <c r="P62" s="24">
        <f t="shared" si="3"/>
        <v>0</v>
      </c>
      <c r="Q62" s="24">
        <f>K62*3</f>
        <v>0</v>
      </c>
      <c r="R62" s="33"/>
      <c r="S62" s="41"/>
    </row>
    <row r="63" spans="1:19" ht="17.399999999999999" x14ac:dyDescent="0.3">
      <c r="A63" s="40"/>
      <c r="B63" s="35"/>
      <c r="C63" s="34"/>
      <c r="D63" s="34"/>
      <c r="E63" s="34"/>
      <c r="F63" s="34"/>
      <c r="G63" s="34"/>
      <c r="H63" s="9"/>
      <c r="I63" s="25" t="s">
        <v>206</v>
      </c>
      <c r="J63" s="26" t="s">
        <v>260</v>
      </c>
      <c r="K63" s="55">
        <f t="shared" si="7"/>
        <v>0</v>
      </c>
      <c r="L63" s="24">
        <f>K63*340</f>
        <v>0</v>
      </c>
      <c r="M63" s="11">
        <f>K63*85</f>
        <v>0</v>
      </c>
      <c r="N63" s="23">
        <f>K63*60</f>
        <v>0</v>
      </c>
      <c r="O63" s="23">
        <f>K63*320</f>
        <v>0</v>
      </c>
      <c r="P63" s="24">
        <f t="shared" si="3"/>
        <v>0</v>
      </c>
      <c r="Q63" s="11">
        <f>K63*19</f>
        <v>0</v>
      </c>
      <c r="R63" s="33"/>
      <c r="S63" s="41"/>
    </row>
    <row r="64" spans="1:19" ht="17.399999999999999" x14ac:dyDescent="0.3">
      <c r="A64" s="40"/>
      <c r="B64" s="35"/>
      <c r="C64" s="34"/>
      <c r="D64" s="34"/>
      <c r="E64" s="34"/>
      <c r="F64" s="34"/>
      <c r="G64" s="34"/>
      <c r="H64" s="9"/>
      <c r="I64" s="25" t="s">
        <v>43</v>
      </c>
      <c r="J64" s="26" t="s">
        <v>96</v>
      </c>
      <c r="K64" s="55">
        <f t="shared" si="7"/>
        <v>0</v>
      </c>
      <c r="L64" s="24">
        <f>38*K64</f>
        <v>0</v>
      </c>
      <c r="M64" s="11"/>
      <c r="N64" s="23">
        <f>1*K64</f>
        <v>0</v>
      </c>
      <c r="O64" s="23"/>
      <c r="P64" s="24">
        <f t="shared" si="3"/>
        <v>0</v>
      </c>
      <c r="Q64" s="11"/>
      <c r="R64" s="33"/>
      <c r="S64" s="41"/>
    </row>
    <row r="65" spans="1:19" ht="17.399999999999999" x14ac:dyDescent="0.3">
      <c r="A65" s="62"/>
      <c r="B65" s="35"/>
      <c r="C65" s="34"/>
      <c r="D65" s="34"/>
      <c r="E65" s="34"/>
      <c r="F65" s="34"/>
      <c r="G65" s="34"/>
      <c r="H65" s="9"/>
      <c r="I65" s="25" t="s">
        <v>51</v>
      </c>
      <c r="J65" s="26" t="s">
        <v>96</v>
      </c>
      <c r="K65" s="55">
        <f t="shared" si="7"/>
        <v>0</v>
      </c>
      <c r="L65" s="24">
        <f>130*K65</f>
        <v>0</v>
      </c>
      <c r="M65" s="11">
        <f>30*K65</f>
        <v>0</v>
      </c>
      <c r="N65" s="23">
        <f>570*K65</f>
        <v>0</v>
      </c>
      <c r="O65" s="23"/>
      <c r="P65" s="24">
        <f>K65*3</f>
        <v>0</v>
      </c>
      <c r="Q65" s="11">
        <f>6*K65</f>
        <v>0</v>
      </c>
      <c r="R65" s="33"/>
      <c r="S65" s="41"/>
    </row>
    <row r="66" spans="1:19" ht="17.399999999999999" x14ac:dyDescent="0.3">
      <c r="A66" s="62"/>
      <c r="B66" s="35"/>
      <c r="C66" s="34"/>
      <c r="D66" s="34"/>
      <c r="E66" s="34"/>
      <c r="F66" s="34"/>
      <c r="G66" s="34"/>
      <c r="H66" s="9"/>
      <c r="I66" s="25" t="s">
        <v>59</v>
      </c>
      <c r="J66" s="26" t="s">
        <v>100</v>
      </c>
      <c r="K66" s="55">
        <f t="shared" si="7"/>
        <v>0</v>
      </c>
      <c r="L66" s="24"/>
      <c r="M66" s="11"/>
      <c r="N66" s="23">
        <f>64*K66</f>
        <v>0</v>
      </c>
      <c r="O66" s="23"/>
      <c r="P66" s="24">
        <f t="shared" si="3"/>
        <v>0</v>
      </c>
      <c r="Q66" s="11"/>
      <c r="R66" s="33"/>
      <c r="S66" s="41"/>
    </row>
    <row r="67" spans="1:19" ht="17.399999999999999" x14ac:dyDescent="0.3">
      <c r="A67" s="62"/>
      <c r="B67" s="35"/>
      <c r="C67" s="34"/>
      <c r="D67" s="34"/>
      <c r="E67" s="34"/>
      <c r="F67" s="34"/>
      <c r="G67" s="34"/>
      <c r="H67" s="9"/>
      <c r="I67" s="25" t="s">
        <v>17</v>
      </c>
      <c r="J67" s="26" t="s">
        <v>96</v>
      </c>
      <c r="K67" s="55">
        <f t="shared" si="7"/>
        <v>0</v>
      </c>
      <c r="L67" s="24">
        <f>K67*48.84</f>
        <v>0</v>
      </c>
      <c r="M67" s="11">
        <f>K67*14.96</f>
        <v>0</v>
      </c>
      <c r="N67" s="23">
        <f>K67*73.76</f>
        <v>0</v>
      </c>
      <c r="O67" s="23">
        <f>K67*5.04</f>
        <v>0</v>
      </c>
      <c r="P67" s="24">
        <f t="shared" si="3"/>
        <v>0</v>
      </c>
      <c r="Q67" s="11">
        <f>K67*1.28</f>
        <v>0</v>
      </c>
      <c r="R67" s="33"/>
      <c r="S67" s="41"/>
    </row>
    <row r="68" spans="1:19" ht="17.399999999999999" x14ac:dyDescent="0.3">
      <c r="A68" s="62"/>
      <c r="B68" s="35"/>
      <c r="C68" s="34"/>
      <c r="D68" s="34"/>
      <c r="E68" s="34"/>
      <c r="F68" s="34"/>
      <c r="G68" s="34"/>
      <c r="H68" s="9"/>
      <c r="I68" s="25" t="s">
        <v>50</v>
      </c>
      <c r="J68" s="26" t="s">
        <v>98</v>
      </c>
      <c r="K68" s="55">
        <f t="shared" si="7"/>
        <v>0</v>
      </c>
      <c r="L68" s="24">
        <f>K68*320</f>
        <v>0</v>
      </c>
      <c r="M68" s="11">
        <f>K68*50</f>
        <v>0</v>
      </c>
      <c r="N68" s="23">
        <f>K68*80</f>
        <v>0</v>
      </c>
      <c r="O68" s="23">
        <f>K68*300</f>
        <v>0</v>
      </c>
      <c r="P68" s="24">
        <f>K68*42</f>
        <v>0</v>
      </c>
      <c r="Q68" s="11">
        <f>K68*4</f>
        <v>0</v>
      </c>
      <c r="R68" s="33"/>
      <c r="S68" s="41"/>
    </row>
    <row r="69" spans="1:19" ht="17.399999999999999" x14ac:dyDescent="0.3">
      <c r="A69" s="62"/>
      <c r="B69" s="35"/>
      <c r="C69" s="34"/>
      <c r="D69" s="34"/>
      <c r="E69" s="34"/>
      <c r="F69" s="34"/>
      <c r="G69" s="34"/>
      <c r="H69" s="9"/>
      <c r="I69" s="56" t="s">
        <v>148</v>
      </c>
      <c r="J69" s="26" t="s">
        <v>149</v>
      </c>
      <c r="K69" s="55">
        <f t="shared" si="7"/>
        <v>0</v>
      </c>
      <c r="L69" s="57">
        <f>K69*130</f>
        <v>0</v>
      </c>
      <c r="M69" s="57">
        <f>K69*5</f>
        <v>0</v>
      </c>
      <c r="N69" s="57">
        <f>K69*45</f>
        <v>0</v>
      </c>
      <c r="O69" s="59">
        <f>K69*60</f>
        <v>0</v>
      </c>
      <c r="P69" s="24">
        <f t="shared" si="3"/>
        <v>0</v>
      </c>
      <c r="Q69" s="99">
        <f>K69*2</f>
        <v>0</v>
      </c>
      <c r="R69" s="33"/>
      <c r="S69" s="41"/>
    </row>
    <row r="70" spans="1:19" ht="17.399999999999999" x14ac:dyDescent="0.3">
      <c r="A70" s="62"/>
      <c r="B70" s="35"/>
      <c r="C70" s="34"/>
      <c r="D70" s="34"/>
      <c r="E70" s="34"/>
      <c r="F70" s="34"/>
      <c r="G70" s="34"/>
      <c r="H70" s="9"/>
      <c r="I70" s="25" t="s">
        <v>150</v>
      </c>
      <c r="J70" s="26" t="s">
        <v>145</v>
      </c>
      <c r="K70" s="55">
        <f t="shared" si="7"/>
        <v>0</v>
      </c>
      <c r="L70" s="29">
        <f>60*K70</f>
        <v>0</v>
      </c>
      <c r="M70" s="29">
        <f>0*K70</f>
        <v>0</v>
      </c>
      <c r="N70" s="29">
        <f>310*K70</f>
        <v>0</v>
      </c>
      <c r="O70" s="23">
        <f>20*K70</f>
        <v>0</v>
      </c>
      <c r="P70" s="24">
        <f t="shared" si="3"/>
        <v>0</v>
      </c>
      <c r="Q70" s="24">
        <f>0*K70</f>
        <v>0</v>
      </c>
      <c r="R70" s="33"/>
      <c r="S70" s="41"/>
    </row>
    <row r="71" spans="1:19" ht="17.399999999999999" x14ac:dyDescent="0.3">
      <c r="A71" s="62"/>
      <c r="B71" s="35"/>
      <c r="C71" s="34"/>
      <c r="D71" s="34"/>
      <c r="E71" s="34"/>
      <c r="F71" s="34"/>
      <c r="G71" s="34"/>
      <c r="H71" s="9"/>
      <c r="I71" s="25" t="s">
        <v>151</v>
      </c>
      <c r="J71" s="26" t="s">
        <v>152</v>
      </c>
      <c r="K71" s="55">
        <f t="shared" si="7"/>
        <v>0</v>
      </c>
      <c r="L71" s="24">
        <f>80*K71</f>
        <v>0</v>
      </c>
      <c r="M71" s="11">
        <f>0*K71</f>
        <v>0</v>
      </c>
      <c r="N71" s="23">
        <f>80*K71</f>
        <v>0</v>
      </c>
      <c r="O71" s="23">
        <f>19*K71</f>
        <v>0</v>
      </c>
      <c r="P71" s="24">
        <f t="shared" si="3"/>
        <v>0</v>
      </c>
      <c r="Q71" s="11">
        <f>1*K71</f>
        <v>0</v>
      </c>
      <c r="R71" s="33"/>
      <c r="S71" s="41"/>
    </row>
    <row r="72" spans="1:19" ht="17.399999999999999" x14ac:dyDescent="0.3">
      <c r="A72" s="62"/>
      <c r="B72" s="35"/>
      <c r="C72" s="34"/>
      <c r="D72" s="34"/>
      <c r="E72" s="34"/>
      <c r="F72" s="34"/>
      <c r="G72" s="34"/>
      <c r="H72" s="9"/>
      <c r="I72" s="25" t="s">
        <v>153</v>
      </c>
      <c r="J72" s="26" t="s">
        <v>107</v>
      </c>
      <c r="K72" s="55">
        <f t="shared" si="7"/>
        <v>0</v>
      </c>
      <c r="L72" s="24">
        <f>K72*(((80*4)+(60*3.5))/4)</f>
        <v>0</v>
      </c>
      <c r="M72" s="11">
        <f>K72*0</f>
        <v>0</v>
      </c>
      <c r="N72" s="23">
        <f>K72*(((60*4)+(20*3.5))/4)</f>
        <v>0</v>
      </c>
      <c r="O72" s="23">
        <f>K72*(((0*4)+(125*3.5))/4)</f>
        <v>0</v>
      </c>
      <c r="P72" s="24">
        <f t="shared" si="3"/>
        <v>0</v>
      </c>
      <c r="Q72" s="11">
        <f>K72*(((1*4)+(0*0.5))/4)</f>
        <v>0</v>
      </c>
      <c r="R72" s="33"/>
      <c r="S72" s="41"/>
    </row>
    <row r="73" spans="1:19" ht="17.399999999999999" x14ac:dyDescent="0.3">
      <c r="A73" s="62"/>
      <c r="B73" s="35"/>
      <c r="C73" s="34"/>
      <c r="D73" s="34"/>
      <c r="E73" s="34"/>
      <c r="F73" s="34"/>
      <c r="G73" s="34"/>
      <c r="H73" s="9"/>
      <c r="I73" s="25" t="s">
        <v>128</v>
      </c>
      <c r="J73" s="26" t="s">
        <v>129</v>
      </c>
      <c r="K73" s="55">
        <f t="shared" si="7"/>
        <v>0</v>
      </c>
      <c r="L73" s="29">
        <f>K73*50</f>
        <v>0</v>
      </c>
      <c r="M73" s="29">
        <f>K73*0</f>
        <v>0</v>
      </c>
      <c r="N73" s="29">
        <f>K73*10</f>
        <v>0</v>
      </c>
      <c r="O73" s="23">
        <f>K73*0</f>
        <v>0</v>
      </c>
      <c r="P73" s="24">
        <f t="shared" si="3"/>
        <v>0</v>
      </c>
      <c r="Q73" s="11">
        <f>K73*0</f>
        <v>0</v>
      </c>
      <c r="R73" s="33"/>
      <c r="S73" s="41"/>
    </row>
    <row r="74" spans="1:19" ht="17.399999999999999" x14ac:dyDescent="0.3">
      <c r="A74" s="62"/>
      <c r="B74" s="35"/>
      <c r="C74" s="34"/>
      <c r="D74" s="34"/>
      <c r="E74" s="34"/>
      <c r="F74" s="34"/>
      <c r="G74" s="34"/>
      <c r="H74" s="9"/>
      <c r="I74" s="25" t="s">
        <v>38</v>
      </c>
      <c r="J74" s="26" t="s">
        <v>129</v>
      </c>
      <c r="K74" s="55">
        <f t="shared" si="7"/>
        <v>0</v>
      </c>
      <c r="L74" s="24">
        <f>K74*20</f>
        <v>0</v>
      </c>
      <c r="M74" s="11">
        <f>K74*0</f>
        <v>0</v>
      </c>
      <c r="N74" s="23">
        <f>K74*160</f>
        <v>0</v>
      </c>
      <c r="O74" s="23">
        <f>K74*45</f>
        <v>0</v>
      </c>
      <c r="P74" s="24">
        <f t="shared" si="3"/>
        <v>0</v>
      </c>
      <c r="Q74" s="11">
        <f>K74*0</f>
        <v>0</v>
      </c>
      <c r="R74" s="33"/>
      <c r="S74" s="41"/>
    </row>
    <row r="75" spans="1:19" ht="17.399999999999999" x14ac:dyDescent="0.3">
      <c r="A75" s="62"/>
      <c r="B75" s="35"/>
      <c r="C75" s="34"/>
      <c r="D75" s="34"/>
      <c r="E75" s="34"/>
      <c r="F75" s="34"/>
      <c r="G75" s="34"/>
      <c r="H75" s="9"/>
      <c r="I75" s="25" t="s">
        <v>49</v>
      </c>
      <c r="J75" s="26" t="s">
        <v>108</v>
      </c>
      <c r="K75" s="55">
        <f t="shared" si="7"/>
        <v>0</v>
      </c>
      <c r="L75" s="24">
        <f>7*K75</f>
        <v>0</v>
      </c>
      <c r="M75" s="11"/>
      <c r="N75" s="23">
        <f>0.6*K75</f>
        <v>0</v>
      </c>
      <c r="O75" s="23">
        <f>K75*33.2</f>
        <v>0</v>
      </c>
      <c r="P75" s="24">
        <f t="shared" si="3"/>
        <v>0</v>
      </c>
      <c r="Q75" s="11">
        <f>0.1*K75</f>
        <v>0</v>
      </c>
      <c r="R75" s="33"/>
      <c r="S75" s="41"/>
    </row>
    <row r="76" spans="1:19" ht="17.399999999999999" x14ac:dyDescent="0.3">
      <c r="A76" s="62"/>
      <c r="B76" s="35"/>
      <c r="C76" s="34"/>
      <c r="D76" s="34"/>
      <c r="E76" s="34"/>
      <c r="F76" s="34"/>
      <c r="G76" s="34"/>
      <c r="H76" s="9"/>
      <c r="I76" s="25" t="s">
        <v>118</v>
      </c>
      <c r="J76" s="26" t="s">
        <v>97</v>
      </c>
      <c r="K76" s="55">
        <f t="shared" ref="K76:K108" si="13">SUM(B76:G76)</f>
        <v>0</v>
      </c>
      <c r="L76" s="24">
        <f>K76*291.4</f>
        <v>0</v>
      </c>
      <c r="M76" s="11">
        <f>K76*32.1</f>
        <v>0</v>
      </c>
      <c r="N76" s="23">
        <f>K76*571.1</f>
        <v>0</v>
      </c>
      <c r="O76" s="23">
        <f>K76*237.1</f>
        <v>0</v>
      </c>
      <c r="P76" s="24">
        <f t="shared" si="3"/>
        <v>0</v>
      </c>
      <c r="Q76" s="11">
        <f>K76*13.8</f>
        <v>0</v>
      </c>
      <c r="R76" s="33"/>
      <c r="S76" s="41"/>
    </row>
    <row r="77" spans="1:19" ht="17.399999999999999" x14ac:dyDescent="0.3">
      <c r="A77" s="62"/>
      <c r="B77" s="36"/>
      <c r="C77" s="34"/>
      <c r="D77" s="34"/>
      <c r="E77" s="34"/>
      <c r="F77" s="34"/>
      <c r="G77" s="34"/>
      <c r="H77" s="9"/>
      <c r="I77" s="25" t="s">
        <v>124</v>
      </c>
      <c r="J77" s="26" t="s">
        <v>97</v>
      </c>
      <c r="K77" s="55">
        <f t="shared" si="13"/>
        <v>0</v>
      </c>
      <c r="L77" s="24">
        <f>K77*336.79</f>
        <v>0</v>
      </c>
      <c r="M77" s="11">
        <f>K77*45.71</f>
        <v>0</v>
      </c>
      <c r="N77" s="23">
        <f>K77*81.43</f>
        <v>0</v>
      </c>
      <c r="O77" s="23">
        <f>K77*621.57</f>
        <v>0</v>
      </c>
      <c r="P77" s="24">
        <f t="shared" si="3"/>
        <v>0</v>
      </c>
      <c r="Q77" s="11">
        <f>K77*18.21</f>
        <v>0</v>
      </c>
      <c r="R77" s="33"/>
      <c r="S77" s="41"/>
    </row>
    <row r="78" spans="1:19" ht="17.399999999999999" x14ac:dyDescent="0.3">
      <c r="A78" s="62"/>
      <c r="B78" s="36"/>
      <c r="C78" s="34"/>
      <c r="D78" s="34"/>
      <c r="E78" s="34"/>
      <c r="F78" s="34"/>
      <c r="G78" s="34"/>
      <c r="H78" s="9"/>
      <c r="I78" s="25" t="s">
        <v>261</v>
      </c>
      <c r="J78" s="26" t="s">
        <v>236</v>
      </c>
      <c r="K78" s="114">
        <f t="shared" si="13"/>
        <v>0</v>
      </c>
      <c r="L78" s="29">
        <f>350*K78</f>
        <v>0</v>
      </c>
      <c r="M78" s="29">
        <f>10*K78</f>
        <v>0</v>
      </c>
      <c r="N78" s="29">
        <f>570*K78</f>
        <v>0</v>
      </c>
      <c r="O78" s="23">
        <f>0*K78</f>
        <v>0</v>
      </c>
      <c r="P78" s="24">
        <f>K78*47</f>
        <v>0</v>
      </c>
      <c r="Q78" s="11">
        <f>K78*9</f>
        <v>0</v>
      </c>
      <c r="R78" s="33"/>
      <c r="S78" s="41"/>
    </row>
    <row r="79" spans="1:19" ht="17.399999999999999" x14ac:dyDescent="0.3">
      <c r="A79" s="62"/>
      <c r="B79" s="36"/>
      <c r="C79" s="34"/>
      <c r="D79" s="34"/>
      <c r="E79" s="34"/>
      <c r="F79" s="34"/>
      <c r="G79" s="34"/>
      <c r="H79" s="9"/>
      <c r="I79" s="25" t="s">
        <v>154</v>
      </c>
      <c r="J79" s="26" t="s">
        <v>97</v>
      </c>
      <c r="K79" s="55">
        <f t="shared" si="13"/>
        <v>0</v>
      </c>
      <c r="L79" s="29">
        <f>231.4*K79</f>
        <v>0</v>
      </c>
      <c r="M79" s="29">
        <f>15*K79</f>
        <v>0</v>
      </c>
      <c r="N79" s="29">
        <f>555*K79</f>
        <v>0</v>
      </c>
      <c r="O79" s="23">
        <f>146.3*K79</f>
        <v>0</v>
      </c>
      <c r="P79" s="24">
        <f t="shared" si="3"/>
        <v>0</v>
      </c>
      <c r="Q79" s="11">
        <f>9.8*K79</f>
        <v>0</v>
      </c>
      <c r="R79" s="33"/>
      <c r="S79" s="41"/>
    </row>
    <row r="80" spans="1:19" ht="17.399999999999999" x14ac:dyDescent="0.3">
      <c r="A80" s="62"/>
      <c r="B80" s="36"/>
      <c r="C80" s="34"/>
      <c r="D80" s="34"/>
      <c r="E80" s="34"/>
      <c r="F80" s="34"/>
      <c r="G80" s="34"/>
      <c r="H80" s="9"/>
      <c r="I80" s="56" t="s">
        <v>155</v>
      </c>
      <c r="J80" s="26" t="s">
        <v>96</v>
      </c>
      <c r="K80" s="55">
        <f t="shared" si="13"/>
        <v>0</v>
      </c>
      <c r="L80" s="57">
        <f>K80*(193.4375/5)</f>
        <v>0</v>
      </c>
      <c r="M80" s="57">
        <f>K80*(33.59375/5)</f>
        <v>0</v>
      </c>
      <c r="N80" s="57">
        <f>K80*(528.90625/5)</f>
        <v>0</v>
      </c>
      <c r="O80" s="59">
        <f>K80*(405.9375/5)</f>
        <v>0</v>
      </c>
      <c r="P80" s="24">
        <f>K80*(19.375/5)</f>
        <v>0</v>
      </c>
      <c r="Q80" s="99">
        <f>K80*(16.875/5)</f>
        <v>0</v>
      </c>
      <c r="R80" s="33"/>
      <c r="S80" s="41"/>
    </row>
    <row r="81" spans="1:19" ht="17.399999999999999" x14ac:dyDescent="0.3">
      <c r="A81" s="62"/>
      <c r="B81" s="36"/>
      <c r="C81" s="34"/>
      <c r="D81" s="34"/>
      <c r="E81" s="34"/>
      <c r="F81" s="34"/>
      <c r="G81" s="34"/>
      <c r="H81" s="9"/>
      <c r="I81" s="96" t="s">
        <v>244</v>
      </c>
      <c r="J81" s="26" t="s">
        <v>243</v>
      </c>
      <c r="K81" s="55">
        <f t="shared" si="13"/>
        <v>0</v>
      </c>
      <c r="L81" s="57">
        <f>K81*80</f>
        <v>0</v>
      </c>
      <c r="M81" s="57">
        <f>K81*0</f>
        <v>0</v>
      </c>
      <c r="N81" s="57">
        <f>K81*2</f>
        <v>0</v>
      </c>
      <c r="O81" s="59">
        <f>K81*140</f>
        <v>0</v>
      </c>
      <c r="P81" s="24">
        <f>K81*17</f>
        <v>0</v>
      </c>
      <c r="Q81" s="99">
        <f>K81*2</f>
        <v>0</v>
      </c>
      <c r="R81" s="33"/>
      <c r="S81" s="41"/>
    </row>
    <row r="82" spans="1:19" ht="17.399999999999999" x14ac:dyDescent="0.3">
      <c r="A82" s="62"/>
      <c r="B82" s="36"/>
      <c r="C82" s="34"/>
      <c r="D82" s="34"/>
      <c r="E82" s="34"/>
      <c r="F82" s="34"/>
      <c r="G82" s="34"/>
      <c r="H82" s="9"/>
      <c r="I82" s="25" t="s">
        <v>54</v>
      </c>
      <c r="J82" s="26" t="s">
        <v>98</v>
      </c>
      <c r="K82" s="55">
        <f t="shared" si="13"/>
        <v>0</v>
      </c>
      <c r="L82" s="24">
        <f>318.933955751298*K82</f>
        <v>0</v>
      </c>
      <c r="M82" s="11">
        <f>43.1505102040816*K82</f>
        <v>0</v>
      </c>
      <c r="N82" s="23">
        <f>926.566587846094*K82</f>
        <v>0</v>
      </c>
      <c r="O82" s="23">
        <f>217.259064470777*K82</f>
        <v>0</v>
      </c>
      <c r="P82" s="24">
        <f t="shared" si="3"/>
        <v>0</v>
      </c>
      <c r="Q82" s="11">
        <f>16.1132653061224*K82</f>
        <v>0</v>
      </c>
      <c r="R82" s="33"/>
      <c r="S82" s="41"/>
    </row>
    <row r="83" spans="1:19" ht="17.399999999999999" x14ac:dyDescent="0.3">
      <c r="A83" s="62"/>
      <c r="B83" s="36"/>
      <c r="C83" s="34"/>
      <c r="D83" s="34"/>
      <c r="E83" s="34"/>
      <c r="F83" s="34"/>
      <c r="G83" s="34"/>
      <c r="H83" s="9"/>
      <c r="I83" s="25" t="s">
        <v>60</v>
      </c>
      <c r="J83" s="26" t="s">
        <v>98</v>
      </c>
      <c r="K83" s="55">
        <f t="shared" si="13"/>
        <v>0</v>
      </c>
      <c r="L83" s="24">
        <f>150*K83</f>
        <v>0</v>
      </c>
      <c r="M83" s="11">
        <f>35*K83</f>
        <v>0</v>
      </c>
      <c r="N83" s="23">
        <f>120*K83</f>
        <v>0</v>
      </c>
      <c r="O83" s="23">
        <f>380*K83</f>
        <v>0</v>
      </c>
      <c r="P83" s="24">
        <f>K83*12</f>
        <v>0</v>
      </c>
      <c r="Q83" s="11">
        <f>8*K83</f>
        <v>0</v>
      </c>
      <c r="R83" s="33"/>
      <c r="S83" s="41"/>
    </row>
    <row r="84" spans="1:19" ht="17.399999999999999" x14ac:dyDescent="0.3">
      <c r="A84" s="62"/>
      <c r="B84" s="36"/>
      <c r="C84" s="34"/>
      <c r="D84" s="34"/>
      <c r="E84" s="34"/>
      <c r="F84" s="34"/>
      <c r="G84" s="34"/>
      <c r="H84" s="9"/>
      <c r="I84" s="25" t="s">
        <v>48</v>
      </c>
      <c r="J84" s="26" t="s">
        <v>129</v>
      </c>
      <c r="K84" s="55">
        <f t="shared" si="13"/>
        <v>0</v>
      </c>
      <c r="L84" s="24">
        <f>40*K84</f>
        <v>0</v>
      </c>
      <c r="M84" s="11">
        <f>5*K84</f>
        <v>0</v>
      </c>
      <c r="N84" s="23">
        <f>100*K84</f>
        <v>0</v>
      </c>
      <c r="O84" s="23">
        <f>0*K84</f>
        <v>0</v>
      </c>
      <c r="P84" s="24">
        <f t="shared" si="3"/>
        <v>0</v>
      </c>
      <c r="Q84" s="11">
        <f>0*K84</f>
        <v>0</v>
      </c>
      <c r="R84" s="33"/>
      <c r="S84" s="41"/>
    </row>
    <row r="85" spans="1:19" ht="17.399999999999999" x14ac:dyDescent="0.3">
      <c r="A85" s="62"/>
      <c r="B85" s="36"/>
      <c r="C85" s="34"/>
      <c r="D85" s="34"/>
      <c r="E85" s="34"/>
      <c r="F85" s="34"/>
      <c r="G85" s="34"/>
      <c r="H85" s="9"/>
      <c r="I85" s="25" t="s">
        <v>62</v>
      </c>
      <c r="J85" s="26" t="s">
        <v>129</v>
      </c>
      <c r="K85" s="55">
        <f t="shared" si="13"/>
        <v>0</v>
      </c>
      <c r="L85" s="24">
        <f>K85*273</f>
        <v>0</v>
      </c>
      <c r="M85" s="11">
        <f>0*K85</f>
        <v>0</v>
      </c>
      <c r="N85" s="23">
        <f>60*3*K85</f>
        <v>0</v>
      </c>
      <c r="O85" s="23">
        <f>0*K85</f>
        <v>0</v>
      </c>
      <c r="P85" s="24">
        <f t="shared" si="3"/>
        <v>0</v>
      </c>
      <c r="Q85" s="11">
        <f>0*K85</f>
        <v>0</v>
      </c>
      <c r="R85" s="33"/>
      <c r="S85" s="41"/>
    </row>
    <row r="86" spans="1:19" ht="17.399999999999999" x14ac:dyDescent="0.3">
      <c r="A86" s="62"/>
      <c r="B86" s="36"/>
      <c r="C86" s="34"/>
      <c r="D86" s="34"/>
      <c r="E86" s="34"/>
      <c r="F86" s="34"/>
      <c r="G86" s="34"/>
      <c r="H86" s="9"/>
      <c r="I86" s="77" t="s">
        <v>216</v>
      </c>
      <c r="J86" s="26" t="s">
        <v>229</v>
      </c>
      <c r="K86" s="55">
        <f t="shared" si="13"/>
        <v>0</v>
      </c>
      <c r="L86" s="24">
        <f>K86*87</f>
        <v>0</v>
      </c>
      <c r="M86" s="24">
        <f>K86*0</f>
        <v>0</v>
      </c>
      <c r="N86" s="24">
        <f>K86*0</f>
        <v>0</v>
      </c>
      <c r="O86" s="23">
        <f>K86*333</f>
        <v>0</v>
      </c>
      <c r="P86" s="24">
        <f t="shared" si="3"/>
        <v>0</v>
      </c>
      <c r="Q86" s="24">
        <f>K86*1.7</f>
        <v>0</v>
      </c>
      <c r="R86" s="33"/>
      <c r="S86" s="41"/>
    </row>
    <row r="87" spans="1:19" ht="17.399999999999999" x14ac:dyDescent="0.3">
      <c r="A87" s="62"/>
      <c r="B87" s="36"/>
      <c r="C87" s="34"/>
      <c r="D87" s="34"/>
      <c r="E87" s="34"/>
      <c r="F87" s="34"/>
      <c r="G87" s="34"/>
      <c r="H87" s="9"/>
      <c r="I87" s="25" t="s">
        <v>282</v>
      </c>
      <c r="J87" s="26" t="s">
        <v>229</v>
      </c>
      <c r="K87" s="55">
        <f t="shared" si="13"/>
        <v>0</v>
      </c>
      <c r="L87" s="24">
        <f>K87*(90/8)</f>
        <v>0</v>
      </c>
      <c r="M87" s="24">
        <f>K87*(0/8)</f>
        <v>0</v>
      </c>
      <c r="N87" s="24">
        <f>K87*(20/8)</f>
        <v>0</v>
      </c>
      <c r="O87" s="23">
        <f>K87*(40/8)</f>
        <v>0</v>
      </c>
      <c r="P87" s="24">
        <f>K87*(23/8)</f>
        <v>0</v>
      </c>
      <c r="Q87" s="24">
        <f>K87*(0/8)</f>
        <v>0</v>
      </c>
      <c r="R87" s="33"/>
      <c r="S87" s="41"/>
    </row>
    <row r="88" spans="1:19" ht="17.399999999999999" x14ac:dyDescent="0.3">
      <c r="A88" s="62"/>
      <c r="B88" s="36"/>
      <c r="C88" s="34"/>
      <c r="D88" s="34"/>
      <c r="E88" s="34"/>
      <c r="F88" s="34"/>
      <c r="G88" s="34"/>
      <c r="H88" s="9"/>
      <c r="I88" s="25" t="s">
        <v>189</v>
      </c>
      <c r="J88" s="26" t="s">
        <v>96</v>
      </c>
      <c r="K88" s="55">
        <f t="shared" si="13"/>
        <v>0</v>
      </c>
      <c r="L88" s="24">
        <f>K88*196.5</f>
        <v>0</v>
      </c>
      <c r="M88" s="11">
        <f>K88*4.375</f>
        <v>0</v>
      </c>
      <c r="N88" s="23">
        <f>K88*116.66667</f>
        <v>0</v>
      </c>
      <c r="O88" s="23">
        <f>K88*107.625</f>
        <v>0</v>
      </c>
      <c r="P88" s="24">
        <f t="shared" si="3"/>
        <v>0</v>
      </c>
      <c r="Q88" s="11">
        <f>K88*4.8375</f>
        <v>0</v>
      </c>
      <c r="R88" s="33"/>
      <c r="S88" s="41"/>
    </row>
    <row r="89" spans="1:19" ht="17.399999999999999" x14ac:dyDescent="0.3">
      <c r="A89" s="62"/>
      <c r="B89" s="36"/>
      <c r="C89" s="34"/>
      <c r="D89" s="34"/>
      <c r="E89" s="34"/>
      <c r="F89" s="34"/>
      <c r="G89" s="34"/>
      <c r="H89" s="9"/>
      <c r="I89" s="25" t="s">
        <v>19</v>
      </c>
      <c r="J89" s="26" t="s">
        <v>129</v>
      </c>
      <c r="K89" s="55">
        <f t="shared" si="13"/>
        <v>0</v>
      </c>
      <c r="L89" s="24">
        <f>K89*(190/2)</f>
        <v>0</v>
      </c>
      <c r="M89" s="11">
        <f>K89*0</f>
        <v>0</v>
      </c>
      <c r="N89" s="23">
        <f>K89*(135/2)</f>
        <v>0</v>
      </c>
      <c r="O89" s="23">
        <f>K89*(190/2)</f>
        <v>0</v>
      </c>
      <c r="P89" s="24">
        <f t="shared" ref="P89:P97" si="14">K89*0</f>
        <v>0</v>
      </c>
      <c r="Q89" s="11">
        <f>K89*(7/2)</f>
        <v>0</v>
      </c>
      <c r="R89" s="33"/>
      <c r="S89" s="41"/>
    </row>
    <row r="90" spans="1:19" ht="17.399999999999999" x14ac:dyDescent="0.3">
      <c r="A90" s="62"/>
      <c r="B90" s="36"/>
      <c r="C90" s="34"/>
      <c r="D90" s="34"/>
      <c r="E90" s="34"/>
      <c r="F90" s="34"/>
      <c r="G90" s="34"/>
      <c r="H90" s="9"/>
      <c r="I90" s="25" t="s">
        <v>180</v>
      </c>
      <c r="J90" s="26" t="s">
        <v>96</v>
      </c>
      <c r="K90" s="55">
        <f t="shared" si="13"/>
        <v>0</v>
      </c>
      <c r="L90" s="24">
        <f>K90*200.62575</f>
        <v>0</v>
      </c>
      <c r="M90" s="11">
        <f>K90*1.09375</f>
        <v>0</v>
      </c>
      <c r="N90" s="23">
        <f>K90*82.032375</f>
        <v>0</v>
      </c>
      <c r="O90" s="23">
        <f>K90*118.0434</f>
        <v>0</v>
      </c>
      <c r="P90" s="24">
        <f t="shared" si="14"/>
        <v>0</v>
      </c>
      <c r="Q90" s="11">
        <f>K90*3.822975</f>
        <v>0</v>
      </c>
      <c r="R90" s="33"/>
      <c r="S90" s="41"/>
    </row>
    <row r="91" spans="1:19" ht="17.399999999999999" x14ac:dyDescent="0.3">
      <c r="A91" s="40"/>
      <c r="B91" s="36"/>
      <c r="C91" s="34"/>
      <c r="D91" s="34"/>
      <c r="E91" s="34"/>
      <c r="F91" s="34"/>
      <c r="G91" s="34"/>
      <c r="H91" s="9"/>
      <c r="I91" s="96" t="s">
        <v>234</v>
      </c>
      <c r="J91" s="26" t="s">
        <v>96</v>
      </c>
      <c r="K91" s="55">
        <f t="shared" si="13"/>
        <v>0</v>
      </c>
      <c r="L91" s="24">
        <f>K91*102</f>
        <v>0</v>
      </c>
      <c r="M91" s="11">
        <f>K91*0</f>
        <v>0</v>
      </c>
      <c r="N91" s="23">
        <f>K91*2</f>
        <v>0</v>
      </c>
      <c r="O91" s="23">
        <f>K91*206</f>
        <v>0</v>
      </c>
      <c r="P91" s="24">
        <f t="shared" si="14"/>
        <v>0</v>
      </c>
      <c r="Q91" s="11">
        <f>K91*0.6</f>
        <v>0</v>
      </c>
      <c r="R91" s="33"/>
      <c r="S91" s="41"/>
    </row>
    <row r="92" spans="1:19" ht="17.399999999999999" x14ac:dyDescent="0.3">
      <c r="A92" s="40"/>
      <c r="B92" s="36"/>
      <c r="C92" s="34"/>
      <c r="D92" s="34"/>
      <c r="E92" s="34"/>
      <c r="F92" s="34"/>
      <c r="G92" s="34"/>
      <c r="H92" s="9"/>
      <c r="I92" s="25" t="s">
        <v>69</v>
      </c>
      <c r="J92" s="26" t="s">
        <v>99</v>
      </c>
      <c r="K92" s="55">
        <f t="shared" si="13"/>
        <v>0</v>
      </c>
      <c r="L92" s="24">
        <f>K92*210</f>
        <v>0</v>
      </c>
      <c r="M92" s="11">
        <f>K92*0</f>
        <v>0</v>
      </c>
      <c r="N92" s="23">
        <f>K92*35</f>
        <v>0</v>
      </c>
      <c r="O92" s="23">
        <f>K92*280</f>
        <v>0</v>
      </c>
      <c r="P92" s="24">
        <f t="shared" si="14"/>
        <v>0</v>
      </c>
      <c r="Q92" s="11">
        <f>K92*0</f>
        <v>0</v>
      </c>
      <c r="R92" s="33"/>
      <c r="S92" s="41"/>
    </row>
    <row r="93" spans="1:19" ht="17.399999999999999" x14ac:dyDescent="0.3">
      <c r="A93" s="40"/>
      <c r="B93" s="36"/>
      <c r="C93" s="34"/>
      <c r="D93" s="34"/>
      <c r="E93" s="34"/>
      <c r="F93" s="34"/>
      <c r="G93" s="34"/>
      <c r="H93" s="9"/>
      <c r="I93" s="25" t="s">
        <v>16</v>
      </c>
      <c r="J93" s="26" t="s">
        <v>109</v>
      </c>
      <c r="K93" s="55">
        <f t="shared" si="13"/>
        <v>0</v>
      </c>
      <c r="L93" s="24">
        <f>K93*80</f>
        <v>0</v>
      </c>
      <c r="M93" s="11">
        <f>K93*0</f>
        <v>0</v>
      </c>
      <c r="N93" s="23">
        <f>K93*0</f>
        <v>0</v>
      </c>
      <c r="O93" s="23">
        <f>K93*0</f>
        <v>0</v>
      </c>
      <c r="P93" s="24">
        <f t="shared" si="14"/>
        <v>0</v>
      </c>
      <c r="Q93" s="11">
        <f>K93*4</f>
        <v>0</v>
      </c>
      <c r="R93" s="33"/>
      <c r="S93" s="41"/>
    </row>
    <row r="94" spans="1:19" ht="17.399999999999999" x14ac:dyDescent="0.3">
      <c r="A94" s="40"/>
      <c r="B94" s="36"/>
      <c r="C94" s="34"/>
      <c r="D94" s="34"/>
      <c r="E94" s="34"/>
      <c r="F94" s="34"/>
      <c r="G94" s="34"/>
      <c r="H94" s="9"/>
      <c r="I94" s="25" t="s">
        <v>156</v>
      </c>
      <c r="J94" s="26" t="s">
        <v>97</v>
      </c>
      <c r="K94" s="55">
        <f t="shared" si="13"/>
        <v>0</v>
      </c>
      <c r="L94" s="24">
        <f>349.125*K94</f>
        <v>0</v>
      </c>
      <c r="M94" s="11">
        <f>34.2857142857143*K94</f>
        <v>0</v>
      </c>
      <c r="N94" s="23">
        <f>68.8392857142857*K94</f>
        <v>0</v>
      </c>
      <c r="O94" s="23">
        <f>597.428571428572*K94</f>
        <v>0</v>
      </c>
      <c r="P94" s="24">
        <f t="shared" si="14"/>
        <v>0</v>
      </c>
      <c r="Q94" s="11">
        <f>17.0876785714286*K94</f>
        <v>0</v>
      </c>
      <c r="R94" s="33"/>
      <c r="S94" s="41"/>
    </row>
    <row r="95" spans="1:19" ht="17.399999999999999" x14ac:dyDescent="0.3">
      <c r="A95" s="40"/>
      <c r="B95" s="36"/>
      <c r="C95" s="34"/>
      <c r="D95" s="34"/>
      <c r="E95" s="34"/>
      <c r="F95" s="34"/>
      <c r="G95" s="34"/>
      <c r="H95" s="9"/>
      <c r="I95" s="25" t="s">
        <v>52</v>
      </c>
      <c r="J95" s="26" t="s">
        <v>157</v>
      </c>
      <c r="K95" s="55">
        <f t="shared" si="13"/>
        <v>0</v>
      </c>
      <c r="L95" s="24">
        <f>(150/12)*K95</f>
        <v>0</v>
      </c>
      <c r="M95" s="11">
        <f>0*K95</f>
        <v>0</v>
      </c>
      <c r="N95" s="23">
        <f>(55/20)*K95</f>
        <v>0</v>
      </c>
      <c r="O95" s="23">
        <f>0*K95</f>
        <v>0</v>
      </c>
      <c r="P95" s="24">
        <f t="shared" si="14"/>
        <v>0</v>
      </c>
      <c r="Q95" s="11">
        <f>0*K95</f>
        <v>0</v>
      </c>
      <c r="R95" s="33"/>
      <c r="S95" s="41"/>
    </row>
    <row r="96" spans="1:19" ht="17.399999999999999" x14ac:dyDescent="0.3">
      <c r="A96" s="40"/>
      <c r="B96" s="36"/>
      <c r="C96" s="34"/>
      <c r="D96" s="34"/>
      <c r="E96" s="34"/>
      <c r="F96" s="34"/>
      <c r="G96" s="34"/>
      <c r="H96" s="9"/>
      <c r="I96" s="25" t="s">
        <v>86</v>
      </c>
      <c r="J96" s="26" t="s">
        <v>87</v>
      </c>
      <c r="K96" s="55">
        <f t="shared" si="13"/>
        <v>0</v>
      </c>
      <c r="L96" s="24">
        <f>K96*284</f>
        <v>0</v>
      </c>
      <c r="M96" s="11">
        <f>K96*45</f>
        <v>0</v>
      </c>
      <c r="N96" s="23">
        <f>K96*441.5</f>
        <v>0</v>
      </c>
      <c r="O96" s="23">
        <f>K96*91.25</f>
        <v>0</v>
      </c>
      <c r="P96" s="24">
        <f t="shared" si="14"/>
        <v>0</v>
      </c>
      <c r="Q96" s="11">
        <f>K96*14.4</f>
        <v>0</v>
      </c>
      <c r="R96" s="33"/>
      <c r="S96" s="41"/>
    </row>
    <row r="97" spans="1:19" ht="17.399999999999999" x14ac:dyDescent="0.3">
      <c r="A97" s="40"/>
      <c r="B97" s="36"/>
      <c r="C97" s="34"/>
      <c r="D97" s="34"/>
      <c r="E97" s="34"/>
      <c r="F97" s="34"/>
      <c r="G97" s="34"/>
      <c r="H97" s="9"/>
      <c r="I97" s="25" t="s">
        <v>68</v>
      </c>
      <c r="J97" s="26" t="s">
        <v>110</v>
      </c>
      <c r="K97" s="55">
        <f t="shared" si="13"/>
        <v>0</v>
      </c>
      <c r="L97" s="29">
        <f>140*K97</f>
        <v>0</v>
      </c>
      <c r="M97" s="29">
        <f>0*K97</f>
        <v>0</v>
      </c>
      <c r="N97" s="29">
        <f>20*K97</f>
        <v>0</v>
      </c>
      <c r="O97" s="23">
        <f>300*K97</f>
        <v>0</v>
      </c>
      <c r="P97" s="24">
        <f t="shared" si="14"/>
        <v>0</v>
      </c>
      <c r="Q97" s="24">
        <f>0*K97</f>
        <v>0</v>
      </c>
      <c r="R97" s="33"/>
      <c r="S97" s="41"/>
    </row>
    <row r="98" spans="1:19" ht="17.399999999999999" x14ac:dyDescent="0.3">
      <c r="A98" s="40"/>
      <c r="B98" s="36"/>
      <c r="C98" s="34"/>
      <c r="D98" s="34"/>
      <c r="E98" s="34"/>
      <c r="F98" s="34"/>
      <c r="G98" s="34"/>
      <c r="H98" s="9"/>
      <c r="I98" s="25" t="s">
        <v>117</v>
      </c>
      <c r="J98" s="26" t="s">
        <v>112</v>
      </c>
      <c r="K98" s="55">
        <f t="shared" si="13"/>
        <v>0</v>
      </c>
      <c r="L98" s="24">
        <f>459.416177380952*K98</f>
        <v>0</v>
      </c>
      <c r="M98" s="11">
        <f>32.9012366071429*K98</f>
        <v>0</v>
      </c>
      <c r="N98" s="23">
        <f>259.1689*K98</f>
        <v>0</v>
      </c>
      <c r="O98" s="23">
        <f>184.6*K98</f>
        <v>0</v>
      </c>
      <c r="P98" s="24">
        <f>K98*37.993</f>
        <v>0</v>
      </c>
      <c r="Q98" s="11">
        <f>14.41154*K98</f>
        <v>0</v>
      </c>
      <c r="R98" s="33"/>
      <c r="S98" s="41"/>
    </row>
    <row r="99" spans="1:19" ht="17.399999999999999" x14ac:dyDescent="0.3">
      <c r="A99" s="40"/>
      <c r="B99" s="36"/>
      <c r="C99" s="34"/>
      <c r="D99" s="34"/>
      <c r="E99" s="34"/>
      <c r="F99" s="34"/>
      <c r="G99" s="34"/>
      <c r="H99" s="9"/>
      <c r="I99" s="25" t="s">
        <v>176</v>
      </c>
      <c r="J99" s="26" t="s">
        <v>96</v>
      </c>
      <c r="K99" s="55">
        <f t="shared" si="13"/>
        <v>0</v>
      </c>
      <c r="L99" s="29">
        <f>K99*200</f>
        <v>0</v>
      </c>
      <c r="M99" s="29">
        <f>K99*0</f>
        <v>0</v>
      </c>
      <c r="N99" s="29">
        <f>K99*160</f>
        <v>0</v>
      </c>
      <c r="O99" s="23">
        <f>K99*60</f>
        <v>0</v>
      </c>
      <c r="P99" s="24">
        <f t="shared" ref="P99:P134" si="15">K99*27</f>
        <v>0</v>
      </c>
      <c r="Q99" s="24">
        <f>K99*2</f>
        <v>0</v>
      </c>
      <c r="R99" s="33"/>
      <c r="S99" s="41"/>
    </row>
    <row r="100" spans="1:19" ht="17.399999999999999" x14ac:dyDescent="0.3">
      <c r="A100" s="40"/>
      <c r="B100" s="36"/>
      <c r="C100" s="34"/>
      <c r="D100" s="34"/>
      <c r="E100" s="34"/>
      <c r="F100" s="34"/>
      <c r="G100" s="34"/>
      <c r="H100" s="9"/>
      <c r="I100" s="25" t="s">
        <v>158</v>
      </c>
      <c r="J100" s="26" t="s">
        <v>96</v>
      </c>
      <c r="K100" s="55">
        <f t="shared" si="13"/>
        <v>0</v>
      </c>
      <c r="L100" s="29">
        <f>K100*156.917322321429</f>
        <v>0</v>
      </c>
      <c r="M100" s="29">
        <f>K100*29.6983861607143</f>
        <v>0</v>
      </c>
      <c r="N100" s="29">
        <f>K100*152.896294642857</f>
        <v>0</v>
      </c>
      <c r="O100" s="23">
        <f>K100*69.3392857142857</f>
        <v>0</v>
      </c>
      <c r="P100" s="24">
        <f t="shared" si="15"/>
        <v>0</v>
      </c>
      <c r="Q100" s="24">
        <f>K100*7.44975553571429</f>
        <v>0</v>
      </c>
      <c r="R100" s="33"/>
      <c r="S100" s="41"/>
    </row>
    <row r="101" spans="1:19" ht="17.399999999999999" x14ac:dyDescent="0.3">
      <c r="A101" s="40"/>
      <c r="B101" s="36"/>
      <c r="C101" s="34"/>
      <c r="D101" s="34"/>
      <c r="E101" s="34"/>
      <c r="F101" s="34"/>
      <c r="G101" s="34"/>
      <c r="H101" s="9"/>
      <c r="I101" s="25" t="s">
        <v>159</v>
      </c>
      <c r="J101" s="26" t="s">
        <v>145</v>
      </c>
      <c r="K101" s="55">
        <f t="shared" si="13"/>
        <v>0</v>
      </c>
      <c r="L101" s="24">
        <f>K101*78.8333333333334</f>
        <v>0</v>
      </c>
      <c r="M101" s="11">
        <f>K101*14.6013020833333</f>
        <v>0</v>
      </c>
      <c r="N101" s="23">
        <f>K101*188.31609375</f>
        <v>0</v>
      </c>
      <c r="O101" s="23">
        <f>K101*89.9966666666667</f>
        <v>0</v>
      </c>
      <c r="P101" s="24">
        <f>K101*0</f>
        <v>0</v>
      </c>
      <c r="Q101" s="11">
        <f>K101*4.49270833333334</f>
        <v>0</v>
      </c>
      <c r="R101" s="33"/>
      <c r="S101" s="41"/>
    </row>
    <row r="102" spans="1:19" ht="17.399999999999999" x14ac:dyDescent="0.45">
      <c r="A102" s="40"/>
      <c r="B102" s="63"/>
      <c r="C102" s="36"/>
      <c r="D102" s="36"/>
      <c r="E102" s="36"/>
      <c r="F102" s="36"/>
      <c r="G102" s="34"/>
      <c r="H102" s="9"/>
      <c r="I102" s="25" t="s">
        <v>160</v>
      </c>
      <c r="J102" s="26" t="s">
        <v>161</v>
      </c>
      <c r="K102" s="55">
        <f t="shared" si="13"/>
        <v>0</v>
      </c>
      <c r="L102" s="29">
        <f>K102*505</f>
        <v>0</v>
      </c>
      <c r="M102" s="29">
        <f>K102*171</f>
        <v>0</v>
      </c>
      <c r="N102" s="29">
        <f>K102*162</f>
        <v>0</v>
      </c>
      <c r="O102" s="23">
        <f>K102*690</f>
        <v>0</v>
      </c>
      <c r="P102" s="24">
        <f t="shared" si="15"/>
        <v>0</v>
      </c>
      <c r="Q102" s="24">
        <f>K102*52</f>
        <v>0</v>
      </c>
      <c r="R102" s="33"/>
      <c r="S102" s="41"/>
    </row>
    <row r="103" spans="1:19" ht="17.399999999999999" x14ac:dyDescent="0.45">
      <c r="A103" s="40"/>
      <c r="B103" s="63"/>
      <c r="C103" s="36"/>
      <c r="D103" s="36"/>
      <c r="E103" s="36"/>
      <c r="F103" s="36"/>
      <c r="G103" s="34">
        <v>183</v>
      </c>
      <c r="H103" s="9"/>
      <c r="I103" s="25" t="s">
        <v>22</v>
      </c>
      <c r="J103" s="26" t="s">
        <v>45</v>
      </c>
      <c r="K103" s="55">
        <f t="shared" si="13"/>
        <v>183</v>
      </c>
      <c r="L103" s="24">
        <f>K103*(161/173)</f>
        <v>170.30635838150289</v>
      </c>
      <c r="M103" s="11">
        <v>0</v>
      </c>
      <c r="N103" s="23">
        <f>K103*(17/173)</f>
        <v>17.982658959537574</v>
      </c>
      <c r="O103" s="23">
        <f>K103*(926/173)</f>
        <v>979.52601156069375</v>
      </c>
      <c r="P103" s="23">
        <f>L103*(38/213)</f>
        <v>30.383293983554506</v>
      </c>
      <c r="Q103" s="11">
        <f>K103*(4.3/173)</f>
        <v>4.5485549132947973</v>
      </c>
      <c r="R103" s="33"/>
      <c r="S103" s="41"/>
    </row>
    <row r="104" spans="1:19" ht="17.399999999999999" x14ac:dyDescent="0.45">
      <c r="A104" s="40"/>
      <c r="B104" s="63"/>
      <c r="C104" s="36"/>
      <c r="D104" s="36"/>
      <c r="E104" s="36"/>
      <c r="F104" s="36"/>
      <c r="G104" s="34"/>
      <c r="H104" s="9"/>
      <c r="I104" s="25" t="s">
        <v>187</v>
      </c>
      <c r="J104" s="26" t="s">
        <v>111</v>
      </c>
      <c r="K104" s="55">
        <f t="shared" si="13"/>
        <v>0</v>
      </c>
      <c r="L104" s="24">
        <f>160*K104</f>
        <v>0</v>
      </c>
      <c r="M104" s="11">
        <f>0*K104</f>
        <v>0</v>
      </c>
      <c r="N104" s="23">
        <f>135*K104</f>
        <v>0</v>
      </c>
      <c r="O104" s="23">
        <f>270*K104</f>
        <v>0</v>
      </c>
      <c r="P104" s="24">
        <f t="shared" si="15"/>
        <v>0</v>
      </c>
      <c r="Q104" s="11">
        <f>1*K104</f>
        <v>0</v>
      </c>
      <c r="R104" s="33"/>
      <c r="S104" s="41"/>
    </row>
    <row r="105" spans="1:19" ht="17.399999999999999" x14ac:dyDescent="0.45">
      <c r="A105" s="40"/>
      <c r="B105" s="63"/>
      <c r="C105" s="36"/>
      <c r="D105" s="36"/>
      <c r="E105" s="36"/>
      <c r="F105" s="36"/>
      <c r="G105" s="34"/>
      <c r="H105" s="9"/>
      <c r="I105" s="25" t="s">
        <v>218</v>
      </c>
      <c r="J105" s="26" t="s">
        <v>217</v>
      </c>
      <c r="K105" s="55">
        <f t="shared" si="13"/>
        <v>0</v>
      </c>
      <c r="L105" s="24">
        <f>150*K105</f>
        <v>0</v>
      </c>
      <c r="M105" s="11">
        <f>0*K105</f>
        <v>0</v>
      </c>
      <c r="N105" s="23">
        <f>75*K105</f>
        <v>0</v>
      </c>
      <c r="O105" s="23">
        <f>270*K105</f>
        <v>0</v>
      </c>
      <c r="P105" s="24">
        <f>K105*16</f>
        <v>0</v>
      </c>
      <c r="Q105" s="11">
        <f>1*K105</f>
        <v>0</v>
      </c>
      <c r="R105" s="33"/>
      <c r="S105" s="41"/>
    </row>
    <row r="106" spans="1:19" ht="17.399999999999999" x14ac:dyDescent="0.45">
      <c r="A106" s="40"/>
      <c r="B106" s="63"/>
      <c r="C106" s="36"/>
      <c r="D106" s="36"/>
      <c r="E106" s="36"/>
      <c r="F106" s="36"/>
      <c r="G106" s="34"/>
      <c r="H106" s="9"/>
      <c r="I106" s="25" t="s">
        <v>63</v>
      </c>
      <c r="J106" s="26" t="s">
        <v>98</v>
      </c>
      <c r="K106" s="55">
        <f t="shared" si="13"/>
        <v>0</v>
      </c>
      <c r="L106" s="24">
        <f>K106*340.708249496982</f>
        <v>0</v>
      </c>
      <c r="M106" s="11">
        <f>K106*144.285714285714</f>
        <v>0</v>
      </c>
      <c r="N106" s="23">
        <f>K106*266.975855130785</f>
        <v>0</v>
      </c>
      <c r="O106" s="23">
        <f>K106*619.762575452716</f>
        <v>0</v>
      </c>
      <c r="P106" s="24">
        <f>K106*0</f>
        <v>0</v>
      </c>
      <c r="Q106" s="11">
        <f>K106*6.84366197183098</f>
        <v>0</v>
      </c>
      <c r="R106" s="33"/>
      <c r="S106" s="41"/>
    </row>
    <row r="107" spans="1:19" ht="17.399999999999999" x14ac:dyDescent="0.45">
      <c r="A107" s="40"/>
      <c r="B107" s="63"/>
      <c r="C107" s="36"/>
      <c r="D107" s="36"/>
      <c r="E107" s="36"/>
      <c r="F107" s="36"/>
      <c r="G107" s="34"/>
      <c r="H107" s="9"/>
      <c r="I107" s="110" t="s">
        <v>199</v>
      </c>
      <c r="J107" s="26" t="s">
        <v>200</v>
      </c>
      <c r="K107" s="55">
        <f t="shared" si="13"/>
        <v>0</v>
      </c>
      <c r="L107" s="29">
        <f>K107*260</f>
        <v>0</v>
      </c>
      <c r="M107" s="29">
        <f>K107*23</f>
        <v>0</v>
      </c>
      <c r="N107" s="29">
        <f>K107*1200</f>
        <v>0</v>
      </c>
      <c r="O107" s="23">
        <f>K107*400</f>
        <v>0</v>
      </c>
      <c r="P107" s="23">
        <f t="shared" ref="P107" si="16">K107*12</f>
        <v>0</v>
      </c>
      <c r="Q107" s="24">
        <f>K107*4</f>
        <v>0</v>
      </c>
      <c r="R107" s="33"/>
      <c r="S107" s="41"/>
    </row>
    <row r="108" spans="1:19" ht="17.399999999999999" x14ac:dyDescent="0.45">
      <c r="A108" s="40"/>
      <c r="B108" s="63"/>
      <c r="C108" s="36"/>
      <c r="D108" s="36"/>
      <c r="E108" s="36"/>
      <c r="F108" s="36"/>
      <c r="G108" s="34"/>
      <c r="H108" s="9"/>
      <c r="I108" s="110" t="s">
        <v>281</v>
      </c>
      <c r="J108" s="26" t="s">
        <v>200</v>
      </c>
      <c r="K108" s="55">
        <f t="shared" si="13"/>
        <v>0</v>
      </c>
      <c r="L108" s="29">
        <f>K108*200</f>
        <v>0</v>
      </c>
      <c r="M108" s="29">
        <f>K108*10</f>
        <v>0</v>
      </c>
      <c r="N108" s="29">
        <f>K108*790</f>
        <v>0</v>
      </c>
      <c r="O108" s="23">
        <f>K108*400</f>
        <v>0</v>
      </c>
      <c r="P108" s="23">
        <f t="shared" ref="P108" si="17">K108*12</f>
        <v>0</v>
      </c>
      <c r="Q108" s="24">
        <f>K108*6</f>
        <v>0</v>
      </c>
      <c r="R108" s="33"/>
      <c r="S108" s="41"/>
    </row>
    <row r="109" spans="1:19" ht="17.399999999999999" x14ac:dyDescent="0.45">
      <c r="A109" s="40"/>
      <c r="B109" s="63"/>
      <c r="C109" s="36"/>
      <c r="D109" s="36"/>
      <c r="E109" s="36"/>
      <c r="F109" s="36"/>
      <c r="G109" s="34"/>
      <c r="H109" s="9"/>
      <c r="I109" s="56" t="s">
        <v>162</v>
      </c>
      <c r="J109" s="26" t="s">
        <v>107</v>
      </c>
      <c r="K109" s="55">
        <f>SUM(B107:G107)</f>
        <v>0</v>
      </c>
      <c r="L109" s="57">
        <f>K109*(165)</f>
        <v>0</v>
      </c>
      <c r="M109" s="57">
        <f>K109*(18)</f>
        <v>0</v>
      </c>
      <c r="N109" s="57">
        <f>K109*(370)</f>
        <v>0</v>
      </c>
      <c r="O109" s="59">
        <f>K109*(190)</f>
        <v>0</v>
      </c>
      <c r="P109" s="24">
        <f t="shared" si="15"/>
        <v>0</v>
      </c>
      <c r="Q109" s="99">
        <f>K109*(4)</f>
        <v>0</v>
      </c>
      <c r="R109" s="33"/>
      <c r="S109" s="41"/>
    </row>
    <row r="110" spans="1:19" ht="17.399999999999999" x14ac:dyDescent="0.45">
      <c r="A110" s="40"/>
      <c r="B110" s="37"/>
      <c r="C110" s="36"/>
      <c r="D110" s="36"/>
      <c r="E110" s="36"/>
      <c r="F110" s="36"/>
      <c r="G110" s="34"/>
      <c r="H110" s="9"/>
      <c r="I110" s="25" t="s">
        <v>163</v>
      </c>
      <c r="J110" s="26" t="s">
        <v>145</v>
      </c>
      <c r="K110" s="55">
        <f t="shared" ref="K110:K136" si="18">SUM(B110:G110)</f>
        <v>0</v>
      </c>
      <c r="L110" s="24">
        <f>K110*100</f>
        <v>0</v>
      </c>
      <c r="M110" s="24">
        <f>K110*10</f>
        <v>0</v>
      </c>
      <c r="N110" s="24">
        <f>K110*240</f>
        <v>0</v>
      </c>
      <c r="O110" s="23">
        <f>K110*0</f>
        <v>0</v>
      </c>
      <c r="P110" s="24">
        <f t="shared" si="15"/>
        <v>0</v>
      </c>
      <c r="Q110" s="24">
        <f>K110*1</f>
        <v>0</v>
      </c>
      <c r="R110" s="33"/>
      <c r="S110" s="41"/>
    </row>
    <row r="111" spans="1:19" ht="17.399999999999999" x14ac:dyDescent="0.45">
      <c r="A111" s="40"/>
      <c r="B111" s="37"/>
      <c r="C111" s="36"/>
      <c r="D111" s="36"/>
      <c r="E111" s="36"/>
      <c r="F111" s="36"/>
      <c r="G111" s="34"/>
      <c r="H111" s="9"/>
      <c r="I111" s="25" t="s">
        <v>164</v>
      </c>
      <c r="J111" s="26" t="s">
        <v>96</v>
      </c>
      <c r="K111" s="55">
        <f t="shared" si="18"/>
        <v>0</v>
      </c>
      <c r="L111" s="24">
        <f>K111*(80/5)</f>
        <v>0</v>
      </c>
      <c r="M111" s="24">
        <f>K111*(0/5)</f>
        <v>0</v>
      </c>
      <c r="N111" s="24">
        <f>K111*(105/5)</f>
        <v>0</v>
      </c>
      <c r="O111" s="23">
        <f>K111*(15/5)</f>
        <v>0</v>
      </c>
      <c r="P111" s="24">
        <f t="shared" si="15"/>
        <v>0</v>
      </c>
      <c r="Q111" s="24">
        <f>K111*(0.99/5)</f>
        <v>0</v>
      </c>
      <c r="R111" s="33"/>
      <c r="S111" s="41"/>
    </row>
    <row r="112" spans="1:19" ht="17.399999999999999" x14ac:dyDescent="0.45">
      <c r="A112" s="40"/>
      <c r="B112" s="37"/>
      <c r="C112" s="36"/>
      <c r="D112" s="36"/>
      <c r="E112" s="36"/>
      <c r="F112" s="36"/>
      <c r="G112" s="34"/>
      <c r="H112" s="9"/>
      <c r="I112" s="110" t="s">
        <v>278</v>
      </c>
      <c r="J112" s="26" t="s">
        <v>157</v>
      </c>
      <c r="K112" s="55">
        <f t="shared" si="18"/>
        <v>0</v>
      </c>
      <c r="L112" s="122">
        <f>K112*(240/16.9)</f>
        <v>0</v>
      </c>
      <c r="M112" s="122">
        <f>K112*0</f>
        <v>0</v>
      </c>
      <c r="N112" s="122">
        <f>K112*(115/16.9)</f>
        <v>0</v>
      </c>
      <c r="O112" s="122">
        <f>K112*0</f>
        <v>0</v>
      </c>
      <c r="P112" s="122">
        <f>K112*(22/16.9)</f>
        <v>0</v>
      </c>
      <c r="Q112" s="122">
        <f>K112*0</f>
        <v>0</v>
      </c>
      <c r="R112" s="33"/>
      <c r="S112" s="41"/>
    </row>
    <row r="113" spans="1:19" ht="17.399999999999999" x14ac:dyDescent="0.45">
      <c r="A113" s="40"/>
      <c r="B113" s="37"/>
      <c r="C113" s="36"/>
      <c r="D113" s="36"/>
      <c r="E113" s="36"/>
      <c r="F113" s="36"/>
      <c r="G113" s="34"/>
      <c r="H113" s="9"/>
      <c r="I113" s="25" t="s">
        <v>165</v>
      </c>
      <c r="J113" s="26" t="s">
        <v>97</v>
      </c>
      <c r="K113" s="55">
        <f t="shared" si="18"/>
        <v>0</v>
      </c>
      <c r="L113" s="24">
        <f>K113*(57)</f>
        <v>0</v>
      </c>
      <c r="M113" s="24">
        <f>K113*(0)</f>
        <v>0</v>
      </c>
      <c r="N113" s="24">
        <f>K113*(16)</f>
        <v>0</v>
      </c>
      <c r="O113" s="23">
        <f>K113*(646)</f>
        <v>0</v>
      </c>
      <c r="P113" s="24">
        <f>K113*2.4</f>
        <v>0</v>
      </c>
      <c r="Q113" s="24">
        <f>K113*(3)</f>
        <v>0</v>
      </c>
      <c r="R113" s="33"/>
      <c r="S113" s="41"/>
    </row>
    <row r="114" spans="1:19" ht="17.399999999999999" x14ac:dyDescent="0.45">
      <c r="A114" s="40"/>
      <c r="B114" s="37"/>
      <c r="C114" s="36"/>
      <c r="D114" s="36"/>
      <c r="E114" s="36"/>
      <c r="F114" s="36"/>
      <c r="G114" s="34"/>
      <c r="H114" s="9"/>
      <c r="I114" s="25" t="s">
        <v>208</v>
      </c>
      <c r="J114" s="26" t="s">
        <v>112</v>
      </c>
      <c r="K114" s="55">
        <f t="shared" si="18"/>
        <v>0</v>
      </c>
      <c r="L114" s="24">
        <f>K114*50</f>
        <v>0</v>
      </c>
      <c r="M114" s="24">
        <f>K114*30</f>
        <v>0</v>
      </c>
      <c r="N114" s="24">
        <f>K114*260</f>
        <v>0</v>
      </c>
      <c r="O114" s="23">
        <f>K114*0</f>
        <v>0</v>
      </c>
      <c r="P114" s="24">
        <f t="shared" si="15"/>
        <v>0</v>
      </c>
      <c r="Q114" s="24">
        <f>K114*4</f>
        <v>0</v>
      </c>
      <c r="R114" s="33"/>
      <c r="S114" s="41"/>
    </row>
    <row r="115" spans="1:19" ht="17.399999999999999" x14ac:dyDescent="0.45">
      <c r="A115" s="40"/>
      <c r="B115" s="37"/>
      <c r="C115" s="36"/>
      <c r="D115" s="36"/>
      <c r="E115" s="36"/>
      <c r="F115" s="36"/>
      <c r="G115" s="34"/>
      <c r="H115" s="9"/>
      <c r="I115" s="25" t="s">
        <v>212</v>
      </c>
      <c r="J115" s="26" t="s">
        <v>96</v>
      </c>
      <c r="K115" s="55">
        <f t="shared" si="18"/>
        <v>0</v>
      </c>
      <c r="L115" s="29">
        <f>K115*180</f>
        <v>0</v>
      </c>
      <c r="M115" s="29">
        <f>K115*30</f>
        <v>0</v>
      </c>
      <c r="N115" s="29">
        <f>K115*710</f>
        <v>0</v>
      </c>
      <c r="O115" s="23">
        <f>K115*140</f>
        <v>0</v>
      </c>
      <c r="P115" s="24">
        <f>K115*11</f>
        <v>0</v>
      </c>
      <c r="Q115" s="24">
        <f>K115*7</f>
        <v>0</v>
      </c>
      <c r="R115" s="33"/>
      <c r="S115" s="41"/>
    </row>
    <row r="116" spans="1:19" ht="17.399999999999999" x14ac:dyDescent="0.45">
      <c r="A116" s="40"/>
      <c r="B116" s="37"/>
      <c r="C116" s="36"/>
      <c r="D116" s="36"/>
      <c r="E116" s="36"/>
      <c r="F116" s="36"/>
      <c r="G116" s="34"/>
      <c r="H116" s="9"/>
      <c r="I116" s="25" t="s">
        <v>24</v>
      </c>
      <c r="J116" s="26" t="s">
        <v>166</v>
      </c>
      <c r="K116" s="55">
        <f t="shared" si="18"/>
        <v>0</v>
      </c>
      <c r="L116" s="24">
        <v>0</v>
      </c>
      <c r="M116" s="11">
        <v>0</v>
      </c>
      <c r="N116" s="23">
        <f>K116*74</f>
        <v>0</v>
      </c>
      <c r="O116" s="23">
        <v>0</v>
      </c>
      <c r="P116" s="24">
        <f t="shared" si="15"/>
        <v>0</v>
      </c>
      <c r="Q116" s="11">
        <v>0</v>
      </c>
      <c r="R116" s="33"/>
      <c r="S116" s="41"/>
    </row>
    <row r="117" spans="1:19" ht="17.399999999999999" x14ac:dyDescent="0.45">
      <c r="A117" s="40"/>
      <c r="B117" s="37"/>
      <c r="C117" s="36"/>
      <c r="D117" s="36"/>
      <c r="E117" s="36"/>
      <c r="F117" s="36"/>
      <c r="G117" s="34"/>
      <c r="H117" s="9"/>
      <c r="I117" s="25" t="s">
        <v>202</v>
      </c>
      <c r="J117" s="26" t="s">
        <v>201</v>
      </c>
      <c r="K117" s="55">
        <f t="shared" si="18"/>
        <v>0</v>
      </c>
      <c r="L117" s="57">
        <f>190*K117</f>
        <v>0</v>
      </c>
      <c r="M117" s="57">
        <f>45*K117</f>
        <v>0</v>
      </c>
      <c r="N117" s="57">
        <f>710*K117</f>
        <v>0</v>
      </c>
      <c r="O117" s="59">
        <f>0*K117</f>
        <v>0</v>
      </c>
      <c r="P117" s="24">
        <f t="shared" si="15"/>
        <v>0</v>
      </c>
      <c r="Q117" s="99">
        <f>11*K117</f>
        <v>0</v>
      </c>
      <c r="R117" s="33"/>
      <c r="S117" s="41"/>
    </row>
    <row r="118" spans="1:19" ht="17.399999999999999" x14ac:dyDescent="0.45">
      <c r="A118" s="66"/>
      <c r="B118" s="37"/>
      <c r="C118" s="36"/>
      <c r="D118" s="36"/>
      <c r="E118" s="36"/>
      <c r="F118" s="36"/>
      <c r="G118" s="34"/>
      <c r="H118" s="9"/>
      <c r="I118" s="25" t="s">
        <v>167</v>
      </c>
      <c r="J118" s="26" t="s">
        <v>106</v>
      </c>
      <c r="K118" s="55">
        <f t="shared" si="18"/>
        <v>0</v>
      </c>
      <c r="L118" s="49">
        <f>275*K118</f>
        <v>0</v>
      </c>
      <c r="M118" s="49">
        <f>62.5*K118</f>
        <v>0</v>
      </c>
      <c r="N118" s="49">
        <f>375*K118</f>
        <v>0</v>
      </c>
      <c r="O118" s="23">
        <f>0*K118</f>
        <v>0</v>
      </c>
      <c r="P118" s="24">
        <f t="shared" si="15"/>
        <v>0</v>
      </c>
      <c r="Q118" s="11">
        <f>10*K118</f>
        <v>0</v>
      </c>
      <c r="R118" s="33"/>
      <c r="S118" s="41"/>
    </row>
    <row r="119" spans="1:19" ht="17.399999999999999" x14ac:dyDescent="0.45">
      <c r="A119" s="66"/>
      <c r="B119" s="37"/>
      <c r="C119" s="36"/>
      <c r="D119" s="36"/>
      <c r="E119" s="36"/>
      <c r="F119" s="36"/>
      <c r="G119" s="34"/>
      <c r="H119" s="9"/>
      <c r="I119" s="25" t="s">
        <v>168</v>
      </c>
      <c r="J119" s="26" t="s">
        <v>44</v>
      </c>
      <c r="K119" s="55">
        <f t="shared" si="18"/>
        <v>0</v>
      </c>
      <c r="L119" s="24">
        <f>K119*110</f>
        <v>0</v>
      </c>
      <c r="M119" s="11">
        <f>K119*30</f>
        <v>0</v>
      </c>
      <c r="N119" s="23">
        <f>K119*1600</f>
        <v>0</v>
      </c>
      <c r="O119" s="23">
        <f>K119*25</f>
        <v>0</v>
      </c>
      <c r="P119" s="24">
        <f t="shared" si="15"/>
        <v>0</v>
      </c>
      <c r="Q119" s="11">
        <f>K119*7</f>
        <v>0</v>
      </c>
      <c r="R119" s="33"/>
      <c r="S119" s="41"/>
    </row>
    <row r="120" spans="1:19" ht="17.399999999999999" x14ac:dyDescent="0.45">
      <c r="A120" s="66"/>
      <c r="B120" s="37"/>
      <c r="C120" s="36"/>
      <c r="D120" s="36"/>
      <c r="E120" s="36"/>
      <c r="F120" s="36"/>
      <c r="G120" s="34"/>
      <c r="H120" s="9"/>
      <c r="I120" s="25" t="s">
        <v>169</v>
      </c>
      <c r="J120" s="26" t="s">
        <v>170</v>
      </c>
      <c r="K120" s="55">
        <f t="shared" si="18"/>
        <v>0</v>
      </c>
      <c r="L120" s="29">
        <f>K120*230</f>
        <v>0</v>
      </c>
      <c r="M120" s="29">
        <f>K120*55</f>
        <v>0</v>
      </c>
      <c r="N120" s="29">
        <f>K120*720</f>
        <v>0</v>
      </c>
      <c r="O120" s="23">
        <f>K120*0</f>
        <v>0</v>
      </c>
      <c r="P120" s="24">
        <f t="shared" si="15"/>
        <v>0</v>
      </c>
      <c r="Q120" s="24">
        <f>K120*12</f>
        <v>0</v>
      </c>
      <c r="R120" s="33"/>
      <c r="S120" s="41"/>
    </row>
    <row r="121" spans="1:19" ht="17.399999999999999" x14ac:dyDescent="0.45">
      <c r="A121" s="40"/>
      <c r="B121" s="37"/>
      <c r="C121" s="36"/>
      <c r="D121" s="36"/>
      <c r="E121" s="36"/>
      <c r="F121" s="36"/>
      <c r="G121" s="34"/>
      <c r="H121" s="9"/>
      <c r="I121" s="25" t="s">
        <v>171</v>
      </c>
      <c r="J121" s="26" t="s">
        <v>96</v>
      </c>
      <c r="K121" s="55">
        <f t="shared" si="18"/>
        <v>0</v>
      </c>
      <c r="L121" s="29">
        <f>K121*180</f>
        <v>0</v>
      </c>
      <c r="M121" s="29">
        <f>K121*50</f>
        <v>0</v>
      </c>
      <c r="N121" s="29">
        <f>K121*980</f>
        <v>0</v>
      </c>
      <c r="O121" s="23">
        <f>K121*180</f>
        <v>0</v>
      </c>
      <c r="P121" s="24">
        <f t="shared" si="15"/>
        <v>0</v>
      </c>
      <c r="Q121" s="24">
        <f>K121*11</f>
        <v>0</v>
      </c>
      <c r="R121" s="33"/>
      <c r="S121" s="41"/>
    </row>
    <row r="122" spans="1:19" ht="17.399999999999999" x14ac:dyDescent="0.45">
      <c r="A122" s="66"/>
      <c r="B122" s="37"/>
      <c r="C122" s="36"/>
      <c r="D122" s="36"/>
      <c r="E122" s="36"/>
      <c r="F122" s="36"/>
      <c r="G122" s="34"/>
      <c r="H122" s="9"/>
      <c r="I122" s="25" t="s">
        <v>56</v>
      </c>
      <c r="J122" s="26" t="s">
        <v>172</v>
      </c>
      <c r="K122" s="55">
        <f t="shared" si="18"/>
        <v>0</v>
      </c>
      <c r="L122" s="24">
        <f>K122*(150/20)</f>
        <v>0</v>
      </c>
      <c r="M122" s="11">
        <f>K122*0</f>
        <v>0</v>
      </c>
      <c r="N122" s="23">
        <f>K122*(87.5/20)</f>
        <v>0</v>
      </c>
      <c r="O122" s="23">
        <f>K122*0</f>
        <v>0</v>
      </c>
      <c r="P122" s="24">
        <f t="shared" si="15"/>
        <v>0</v>
      </c>
      <c r="Q122" s="11">
        <f>K122*0</f>
        <v>0</v>
      </c>
      <c r="R122" s="33"/>
      <c r="S122" s="41"/>
    </row>
    <row r="123" spans="1:19" ht="17.399999999999999" x14ac:dyDescent="0.45">
      <c r="A123" s="66"/>
      <c r="B123" s="37"/>
      <c r="C123" s="36"/>
      <c r="D123" s="36"/>
      <c r="E123" s="36"/>
      <c r="F123" s="36"/>
      <c r="G123" s="34"/>
      <c r="H123" s="9"/>
      <c r="I123" s="65" t="s">
        <v>209</v>
      </c>
      <c r="J123" s="26" t="s">
        <v>145</v>
      </c>
      <c r="K123" s="55">
        <f t="shared" si="18"/>
        <v>0</v>
      </c>
      <c r="L123" s="24">
        <f>K123*40</f>
        <v>0</v>
      </c>
      <c r="M123" s="11">
        <f>K123*10</f>
        <v>0</v>
      </c>
      <c r="N123" s="23">
        <f>K123*25</f>
        <v>0</v>
      </c>
      <c r="O123" s="23">
        <f>K123*0</f>
        <v>0</v>
      </c>
      <c r="P123" s="24">
        <f>K123*2</f>
        <v>0</v>
      </c>
      <c r="Q123" s="11">
        <f>K123*2</f>
        <v>0</v>
      </c>
      <c r="R123" s="33"/>
      <c r="S123" s="41"/>
    </row>
    <row r="124" spans="1:19" ht="17.399999999999999" x14ac:dyDescent="0.45">
      <c r="A124" s="66"/>
      <c r="B124" s="37"/>
      <c r="C124" s="36"/>
      <c r="D124" s="36"/>
      <c r="E124" s="36"/>
      <c r="F124" s="36"/>
      <c r="G124" s="34"/>
      <c r="H124" s="9"/>
      <c r="I124" s="25" t="s">
        <v>28</v>
      </c>
      <c r="J124" s="26" t="s">
        <v>112</v>
      </c>
      <c r="K124" s="55">
        <f t="shared" si="18"/>
        <v>0</v>
      </c>
      <c r="L124" s="24">
        <f>K124*185</f>
        <v>0</v>
      </c>
      <c r="M124" s="11">
        <v>0</v>
      </c>
      <c r="N124" s="23">
        <f>K124*328</f>
        <v>0</v>
      </c>
      <c r="O124" s="23">
        <f>K124*82</f>
        <v>0</v>
      </c>
      <c r="P124" s="24">
        <f t="shared" si="15"/>
        <v>0</v>
      </c>
      <c r="Q124" s="11">
        <f>K124*8</f>
        <v>0</v>
      </c>
      <c r="R124" s="33"/>
      <c r="S124" s="41"/>
    </row>
    <row r="125" spans="1:19" ht="17.399999999999999" x14ac:dyDescent="0.45">
      <c r="A125" s="66"/>
      <c r="B125" s="37"/>
      <c r="C125" s="36"/>
      <c r="D125" s="36"/>
      <c r="E125" s="36"/>
      <c r="F125" s="36"/>
      <c r="G125" s="34"/>
      <c r="H125" s="9"/>
      <c r="I125" s="25" t="s">
        <v>210</v>
      </c>
      <c r="J125" s="26" t="s">
        <v>211</v>
      </c>
      <c r="K125" s="55">
        <f t="shared" si="18"/>
        <v>0</v>
      </c>
      <c r="L125" s="24">
        <f>K125*347.5</f>
        <v>0</v>
      </c>
      <c r="M125" s="11">
        <f>K125*32.5</f>
        <v>0</v>
      </c>
      <c r="N125" s="23">
        <f>K125*253.75</f>
        <v>0</v>
      </c>
      <c r="O125" s="23">
        <f>K125*105</f>
        <v>0</v>
      </c>
      <c r="P125" s="24">
        <f t="shared" si="15"/>
        <v>0</v>
      </c>
      <c r="Q125" s="11">
        <f>K125*20.375</f>
        <v>0</v>
      </c>
      <c r="R125" s="33"/>
      <c r="S125" s="41"/>
    </row>
    <row r="126" spans="1:19" ht="17.399999999999999" x14ac:dyDescent="0.45">
      <c r="A126" s="66"/>
      <c r="B126" s="37"/>
      <c r="C126" s="36"/>
      <c r="D126" s="36"/>
      <c r="E126" s="36"/>
      <c r="F126" s="36"/>
      <c r="G126" s="34"/>
      <c r="H126" s="9"/>
      <c r="I126" s="65" t="s">
        <v>184</v>
      </c>
      <c r="J126" s="26" t="s">
        <v>185</v>
      </c>
      <c r="K126" s="55">
        <f t="shared" si="18"/>
        <v>0</v>
      </c>
      <c r="L126" s="24">
        <f>K126*110</f>
        <v>0</v>
      </c>
      <c r="M126" s="11">
        <f>K126*40</f>
        <v>0</v>
      </c>
      <c r="N126" s="23">
        <f>K126*580</f>
        <v>0</v>
      </c>
      <c r="O126" s="23">
        <f>K126*0</f>
        <v>0</v>
      </c>
      <c r="P126" s="24">
        <f>K126*0</f>
        <v>0</v>
      </c>
      <c r="Q126" s="11">
        <f>K126*9</f>
        <v>0</v>
      </c>
      <c r="R126" s="33"/>
      <c r="S126" s="41"/>
    </row>
    <row r="127" spans="1:19" ht="17.399999999999999" x14ac:dyDescent="0.45">
      <c r="A127" s="66"/>
      <c r="B127" s="37"/>
      <c r="C127" s="36"/>
      <c r="D127" s="36"/>
      <c r="E127" s="36"/>
      <c r="F127" s="36"/>
      <c r="G127" s="34"/>
      <c r="H127" s="9"/>
      <c r="I127" s="25" t="s">
        <v>84</v>
      </c>
      <c r="J127" s="26" t="s">
        <v>113</v>
      </c>
      <c r="K127" s="55">
        <f t="shared" si="18"/>
        <v>0</v>
      </c>
      <c r="L127" s="24">
        <f>K127*80</f>
        <v>0</v>
      </c>
      <c r="M127" s="11">
        <f>K127*25</f>
        <v>0</v>
      </c>
      <c r="N127" s="23">
        <f>K127*20</f>
        <v>0</v>
      </c>
      <c r="O127" s="23">
        <f>K127*0</f>
        <v>0</v>
      </c>
      <c r="P127" s="24">
        <f t="shared" si="15"/>
        <v>0</v>
      </c>
      <c r="Q127" s="11">
        <f>K127*5</f>
        <v>0</v>
      </c>
      <c r="R127" s="33"/>
      <c r="S127" s="41"/>
    </row>
    <row r="128" spans="1:19" ht="17.399999999999999" x14ac:dyDescent="0.45">
      <c r="A128" s="66"/>
      <c r="B128" s="37"/>
      <c r="C128" s="36"/>
      <c r="D128" s="36"/>
      <c r="E128" s="36"/>
      <c r="F128" s="36"/>
      <c r="G128" s="34"/>
      <c r="H128" s="9"/>
      <c r="I128" s="25" t="s">
        <v>126</v>
      </c>
      <c r="J128" s="26" t="s">
        <v>96</v>
      </c>
      <c r="K128" s="55">
        <f t="shared" si="18"/>
        <v>0</v>
      </c>
      <c r="L128" s="29">
        <f>K128*360</f>
        <v>0</v>
      </c>
      <c r="M128" s="29">
        <f>K128*95</f>
        <v>0</v>
      </c>
      <c r="N128" s="29">
        <f>K128*65</f>
        <v>0</v>
      </c>
      <c r="O128" s="23">
        <f>K128*0</f>
        <v>0</v>
      </c>
      <c r="P128" s="24">
        <f t="shared" si="15"/>
        <v>0</v>
      </c>
      <c r="Q128" s="11">
        <f>K128*25</f>
        <v>0</v>
      </c>
      <c r="R128" s="33"/>
      <c r="S128" s="41"/>
    </row>
    <row r="129" spans="1:19" ht="17.399999999999999" x14ac:dyDescent="0.45">
      <c r="A129" s="66"/>
      <c r="B129" s="37"/>
      <c r="C129" s="36"/>
      <c r="D129" s="36"/>
      <c r="E129" s="36"/>
      <c r="F129" s="36"/>
      <c r="G129" s="34"/>
      <c r="H129" s="9"/>
      <c r="I129" s="25" t="s">
        <v>173</v>
      </c>
      <c r="J129" s="26" t="s">
        <v>96</v>
      </c>
      <c r="K129" s="55">
        <f t="shared" si="18"/>
        <v>0</v>
      </c>
      <c r="L129" s="29">
        <f>K129*251.813893557423</f>
        <v>0</v>
      </c>
      <c r="M129" s="29">
        <f>K129*53.9990476190476</f>
        <v>0</v>
      </c>
      <c r="N129" s="29">
        <f>K129*413.801978291317</f>
        <v>0</v>
      </c>
      <c r="O129" s="23">
        <f>K129*265.915966386555</f>
        <v>0</v>
      </c>
      <c r="P129" s="24">
        <f t="shared" si="15"/>
        <v>0</v>
      </c>
      <c r="Q129" s="24">
        <f>K129*14.9942415966387</f>
        <v>0</v>
      </c>
      <c r="R129" s="33"/>
      <c r="S129" s="41"/>
    </row>
    <row r="130" spans="1:19" ht="17.399999999999999" x14ac:dyDescent="0.45">
      <c r="A130" s="66"/>
      <c r="B130" s="37"/>
      <c r="C130" s="36"/>
      <c r="D130" s="36"/>
      <c r="E130" s="36"/>
      <c r="F130" s="36"/>
      <c r="G130" s="34"/>
      <c r="H130" s="9"/>
      <c r="I130" s="25" t="s">
        <v>85</v>
      </c>
      <c r="J130" s="26" t="s">
        <v>45</v>
      </c>
      <c r="K130" s="55">
        <f t="shared" si="18"/>
        <v>0</v>
      </c>
      <c r="L130" s="24">
        <f>K130*(114/133)</f>
        <v>0</v>
      </c>
      <c r="M130" s="11">
        <f>K130*(0/133)</f>
        <v>0</v>
      </c>
      <c r="N130" s="23">
        <f>K130*(73/133)</f>
        <v>0</v>
      </c>
      <c r="O130" s="23">
        <f>K130*(448/133)</f>
        <v>0</v>
      </c>
      <c r="P130" s="24">
        <f>K130*(27/133)</f>
        <v>0</v>
      </c>
      <c r="Q130" s="11">
        <f>K130*(2.1/133)</f>
        <v>0</v>
      </c>
      <c r="R130" s="33"/>
      <c r="S130" s="41"/>
    </row>
    <row r="131" spans="1:19" ht="17.399999999999999" x14ac:dyDescent="0.45">
      <c r="A131" s="66"/>
      <c r="B131" s="37"/>
      <c r="C131" s="36"/>
      <c r="D131" s="36"/>
      <c r="E131" s="36"/>
      <c r="F131" s="36"/>
      <c r="G131" s="34"/>
      <c r="H131" s="9"/>
      <c r="I131" s="65" t="s">
        <v>188</v>
      </c>
      <c r="J131" s="26" t="s">
        <v>139</v>
      </c>
      <c r="K131" s="55">
        <f t="shared" si="18"/>
        <v>0</v>
      </c>
      <c r="L131" s="24">
        <f>K131*15</f>
        <v>0</v>
      </c>
      <c r="M131" s="11">
        <f>K131*0</f>
        <v>0</v>
      </c>
      <c r="N131" s="23">
        <f>K131*110</f>
        <v>0</v>
      </c>
      <c r="O131" s="23">
        <f>K131*0</f>
        <v>0</v>
      </c>
      <c r="P131" s="24">
        <f t="shared" si="15"/>
        <v>0</v>
      </c>
      <c r="Q131" s="11">
        <f>K131*0</f>
        <v>0</v>
      </c>
      <c r="R131" s="33"/>
      <c r="S131" s="41"/>
    </row>
    <row r="132" spans="1:19" ht="17.399999999999999" x14ac:dyDescent="0.45">
      <c r="A132" s="66"/>
      <c r="B132" s="37"/>
      <c r="C132" s="36"/>
      <c r="D132" s="36"/>
      <c r="E132" s="36"/>
      <c r="F132" s="36"/>
      <c r="G132" s="34"/>
      <c r="H132" s="9"/>
      <c r="I132" s="25" t="s">
        <v>53</v>
      </c>
      <c r="J132" s="26" t="s">
        <v>96</v>
      </c>
      <c r="K132" s="55">
        <f t="shared" si="18"/>
        <v>0</v>
      </c>
      <c r="L132" s="24">
        <f>200*K132</f>
        <v>0</v>
      </c>
      <c r="M132" s="11">
        <f>K132*44</f>
        <v>0</v>
      </c>
      <c r="N132" s="23">
        <f>K132*240</f>
        <v>0</v>
      </c>
      <c r="O132" s="23">
        <f>K132*119</f>
        <v>0</v>
      </c>
      <c r="P132" s="24">
        <f>K132*2</f>
        <v>0</v>
      </c>
      <c r="Q132" s="49">
        <f>K132*9</f>
        <v>0</v>
      </c>
      <c r="R132" s="33"/>
      <c r="S132" s="41"/>
    </row>
    <row r="133" spans="1:19" ht="17.399999999999999" x14ac:dyDescent="0.45">
      <c r="A133" s="66"/>
      <c r="B133" s="37"/>
      <c r="C133" s="36"/>
      <c r="D133" s="36"/>
      <c r="E133" s="36"/>
      <c r="F133" s="36"/>
      <c r="G133" s="34">
        <v>1</v>
      </c>
      <c r="H133" s="9"/>
      <c r="I133" s="25" t="s">
        <v>121</v>
      </c>
      <c r="J133" s="26" t="s">
        <v>96</v>
      </c>
      <c r="K133" s="55">
        <f t="shared" si="18"/>
        <v>1</v>
      </c>
      <c r="L133" s="29">
        <f>K133*47</f>
        <v>47</v>
      </c>
      <c r="M133" s="29">
        <f>K133*0</f>
        <v>0</v>
      </c>
      <c r="N133" s="29">
        <f>K133*2</f>
        <v>2</v>
      </c>
      <c r="O133" s="23">
        <f>K133*146</f>
        <v>146</v>
      </c>
      <c r="P133" s="24">
        <f t="shared" si="15"/>
        <v>27</v>
      </c>
      <c r="Q133" s="49">
        <f>K133*0.7</f>
        <v>0.7</v>
      </c>
      <c r="R133" s="33"/>
      <c r="S133" s="41"/>
    </row>
    <row r="134" spans="1:19" ht="17.399999999999999" x14ac:dyDescent="0.45">
      <c r="A134" s="66"/>
      <c r="B134" s="37"/>
      <c r="C134" s="36"/>
      <c r="D134" s="36"/>
      <c r="E134" s="36"/>
      <c r="F134" s="36"/>
      <c r="G134" s="34"/>
      <c r="H134" s="9"/>
      <c r="I134" s="25" t="s">
        <v>4</v>
      </c>
      <c r="J134" s="26" t="s">
        <v>129</v>
      </c>
      <c r="K134" s="55">
        <f t="shared" si="18"/>
        <v>0</v>
      </c>
      <c r="L134" s="24">
        <f>K134*67.2</f>
        <v>0</v>
      </c>
      <c r="M134" s="11">
        <f>K134*6</f>
        <v>0</v>
      </c>
      <c r="N134" s="23">
        <f>K134*240.6</f>
        <v>0</v>
      </c>
      <c r="O134" s="23">
        <f>K134*198</f>
        <v>0</v>
      </c>
      <c r="P134" s="24">
        <f t="shared" si="15"/>
        <v>0</v>
      </c>
      <c r="Q134" s="49">
        <f>K134*0</f>
        <v>0</v>
      </c>
      <c r="R134" s="33"/>
      <c r="S134" s="41"/>
    </row>
    <row r="135" spans="1:19" ht="17.399999999999999" x14ac:dyDescent="0.45">
      <c r="A135" s="66"/>
      <c r="B135" s="37"/>
      <c r="C135" s="36"/>
      <c r="D135" s="36"/>
      <c r="E135" s="36"/>
      <c r="F135" s="36">
        <v>1</v>
      </c>
      <c r="G135" s="34">
        <v>1</v>
      </c>
      <c r="H135" s="9"/>
      <c r="I135" s="25" t="s">
        <v>5</v>
      </c>
      <c r="J135" s="26" t="s">
        <v>108</v>
      </c>
      <c r="K135" s="55">
        <f t="shared" si="18"/>
        <v>2</v>
      </c>
      <c r="L135" s="24">
        <f>K135*45</f>
        <v>90</v>
      </c>
      <c r="M135" s="11">
        <f>K135*0</f>
        <v>0</v>
      </c>
      <c r="N135" s="23">
        <f>K135*0</f>
        <v>0</v>
      </c>
      <c r="O135" s="23">
        <f>K135*0</f>
        <v>0</v>
      </c>
      <c r="P135" s="11">
        <f>K135*12</f>
        <v>24</v>
      </c>
      <c r="Q135" s="49">
        <f>K135*0</f>
        <v>0</v>
      </c>
      <c r="R135" s="33"/>
      <c r="S135" s="41"/>
    </row>
    <row r="136" spans="1:19" ht="17.399999999999999" x14ac:dyDescent="0.45">
      <c r="A136" s="66"/>
      <c r="B136" s="37"/>
      <c r="C136" s="36"/>
      <c r="D136" s="36"/>
      <c r="E136" s="36"/>
      <c r="F136" s="36"/>
      <c r="G136" s="34"/>
      <c r="H136" s="9"/>
      <c r="I136" s="25" t="s">
        <v>67</v>
      </c>
      <c r="J136" s="26" t="s">
        <v>91</v>
      </c>
      <c r="K136" s="55">
        <f t="shared" si="18"/>
        <v>0</v>
      </c>
      <c r="L136" s="24">
        <f>100*K136</f>
        <v>0</v>
      </c>
      <c r="M136" s="11">
        <f>0*K136</f>
        <v>0</v>
      </c>
      <c r="N136" s="23">
        <f>700*K136</f>
        <v>0</v>
      </c>
      <c r="O136" s="23">
        <f>0*K136</f>
        <v>0</v>
      </c>
      <c r="P136" s="11">
        <f t="shared" ref="P136:P142" si="19">K136*12</f>
        <v>0</v>
      </c>
      <c r="Q136" s="49">
        <f>6*K136</f>
        <v>0</v>
      </c>
      <c r="R136" s="33"/>
      <c r="S136" s="41"/>
    </row>
    <row r="137" spans="1:19" ht="17.399999999999999" x14ac:dyDescent="0.45">
      <c r="A137" s="66"/>
      <c r="B137" s="37"/>
      <c r="C137" s="36"/>
      <c r="D137" s="36"/>
      <c r="E137" s="36"/>
      <c r="F137" s="36"/>
      <c r="G137" s="34"/>
      <c r="H137" s="9"/>
      <c r="I137" s="25" t="s">
        <v>90</v>
      </c>
      <c r="J137" s="26" t="s">
        <v>45</v>
      </c>
      <c r="K137" s="55">
        <f t="shared" ref="K137:K142" si="20">SUM(B137:G137)</f>
        <v>0</v>
      </c>
      <c r="L137" s="24">
        <f>K137*0.178861788617886</f>
        <v>0</v>
      </c>
      <c r="M137" s="11">
        <f>K137*0</f>
        <v>0</v>
      </c>
      <c r="N137" s="23">
        <f>K137*0.0487804878048781</f>
        <v>0</v>
      </c>
      <c r="O137" s="23">
        <f>K137*2.3739837398374</f>
        <v>0</v>
      </c>
      <c r="P137" s="11">
        <f t="shared" si="19"/>
        <v>0</v>
      </c>
      <c r="Q137" s="49">
        <f>K137*0.00894308943089431</f>
        <v>0</v>
      </c>
      <c r="R137" s="33"/>
      <c r="S137" s="41"/>
    </row>
    <row r="138" spans="1:19" ht="17.399999999999999" x14ac:dyDescent="0.45">
      <c r="A138" s="66"/>
      <c r="B138" s="37"/>
      <c r="C138" s="36"/>
      <c r="D138" s="36"/>
      <c r="E138" s="36"/>
      <c r="F138" s="36"/>
      <c r="G138" s="34"/>
      <c r="H138" s="9"/>
      <c r="I138" s="25" t="s">
        <v>174</v>
      </c>
      <c r="J138" s="26" t="s">
        <v>146</v>
      </c>
      <c r="K138" s="55">
        <f t="shared" si="20"/>
        <v>0</v>
      </c>
      <c r="L138" s="24">
        <f>K138*155</f>
        <v>0</v>
      </c>
      <c r="M138" s="11">
        <f>K138*32.5</f>
        <v>0</v>
      </c>
      <c r="N138" s="23">
        <f>K138*477.5</f>
        <v>0</v>
      </c>
      <c r="O138" s="23">
        <f>K138*100</f>
        <v>0</v>
      </c>
      <c r="P138" s="11">
        <f t="shared" si="19"/>
        <v>0</v>
      </c>
      <c r="Q138" s="100">
        <f>K138*10</f>
        <v>0</v>
      </c>
      <c r="R138" s="33"/>
      <c r="S138" s="41"/>
    </row>
    <row r="139" spans="1:19" ht="17.399999999999999" x14ac:dyDescent="0.45">
      <c r="A139" s="66"/>
      <c r="B139" s="37"/>
      <c r="C139" s="36"/>
      <c r="D139" s="36"/>
      <c r="E139" s="36"/>
      <c r="F139" s="36"/>
      <c r="G139" s="34"/>
      <c r="H139" s="9"/>
      <c r="I139" s="25" t="s">
        <v>175</v>
      </c>
      <c r="J139" s="26" t="s">
        <v>45</v>
      </c>
      <c r="K139" s="55">
        <f t="shared" si="20"/>
        <v>0</v>
      </c>
      <c r="L139" s="24">
        <f>K139*35</f>
        <v>0</v>
      </c>
      <c r="M139" s="11">
        <f>K139*10</f>
        <v>0</v>
      </c>
      <c r="N139" s="23">
        <f>K139*220</f>
        <v>0</v>
      </c>
      <c r="O139" s="23">
        <f>K139*0</f>
        <v>0</v>
      </c>
      <c r="P139" s="11">
        <f t="shared" si="19"/>
        <v>0</v>
      </c>
      <c r="Q139" s="49">
        <f>K139*3</f>
        <v>0</v>
      </c>
      <c r="R139" s="33"/>
      <c r="S139" s="41"/>
    </row>
    <row r="140" spans="1:19" ht="17.399999999999999" x14ac:dyDescent="0.45">
      <c r="A140" s="66"/>
      <c r="B140" s="37"/>
      <c r="C140" s="36"/>
      <c r="D140" s="36"/>
      <c r="E140" s="36"/>
      <c r="F140" s="36"/>
      <c r="G140" s="34"/>
      <c r="H140" s="9"/>
      <c r="I140" s="25" t="s">
        <v>26</v>
      </c>
      <c r="J140" s="26" t="s">
        <v>92</v>
      </c>
      <c r="K140" s="55">
        <f t="shared" si="20"/>
        <v>0</v>
      </c>
      <c r="L140" s="24">
        <f>K140*(50/8)</f>
        <v>0</v>
      </c>
      <c r="M140" s="11"/>
      <c r="N140" s="23">
        <f>K140*(140/8)</f>
        <v>0</v>
      </c>
      <c r="O140" s="23">
        <f>K140*(900/8)</f>
        <v>0</v>
      </c>
      <c r="P140" s="11">
        <f t="shared" si="19"/>
        <v>0</v>
      </c>
      <c r="Q140" s="49">
        <f>K140*(2/8)</f>
        <v>0</v>
      </c>
      <c r="R140" s="33"/>
      <c r="S140" s="41"/>
    </row>
    <row r="141" spans="1:19" ht="17.399999999999999" x14ac:dyDescent="0.45">
      <c r="A141" s="66"/>
      <c r="B141" s="37"/>
      <c r="C141" s="36"/>
      <c r="D141" s="36"/>
      <c r="E141" s="36"/>
      <c r="F141" s="36"/>
      <c r="G141" s="34"/>
      <c r="H141" s="9"/>
      <c r="I141" s="110" t="s">
        <v>252</v>
      </c>
      <c r="J141" s="26" t="s">
        <v>251</v>
      </c>
      <c r="K141" s="55">
        <f t="shared" si="20"/>
        <v>0</v>
      </c>
      <c r="L141" s="24">
        <f>K141*((120/4)*7)</f>
        <v>0</v>
      </c>
      <c r="M141" s="11">
        <f>K141*((55/4)*7)</f>
        <v>0</v>
      </c>
      <c r="N141" s="23">
        <f>K141*((630/4)*7)</f>
        <v>0</v>
      </c>
      <c r="O141" s="23">
        <f>K141*((0/4)*7)</f>
        <v>0</v>
      </c>
      <c r="P141" s="11">
        <f>K141*((1/4)*7)</f>
        <v>0</v>
      </c>
      <c r="Q141" s="49">
        <f>K141*((7/4)*7)</f>
        <v>0</v>
      </c>
      <c r="R141" s="33"/>
      <c r="S141" s="41"/>
    </row>
    <row r="142" spans="1:19" ht="17.399999999999999" x14ac:dyDescent="0.45">
      <c r="A142" s="66"/>
      <c r="B142" s="37"/>
      <c r="C142" s="36"/>
      <c r="D142" s="36"/>
      <c r="E142" s="36"/>
      <c r="F142" s="36"/>
      <c r="G142" s="34"/>
      <c r="H142" s="9"/>
      <c r="I142" s="25" t="s">
        <v>47</v>
      </c>
      <c r="J142" s="26" t="s">
        <v>93</v>
      </c>
      <c r="K142" s="55">
        <f t="shared" si="20"/>
        <v>0</v>
      </c>
      <c r="L142" s="24">
        <f>70*K142</f>
        <v>0</v>
      </c>
      <c r="M142" s="11">
        <f>15*K142</f>
        <v>0</v>
      </c>
      <c r="N142" s="23">
        <f>370*K142</f>
        <v>0</v>
      </c>
      <c r="O142" s="23"/>
      <c r="P142" s="11">
        <f t="shared" si="19"/>
        <v>0</v>
      </c>
      <c r="Q142" s="49">
        <f>4*K142</f>
        <v>0</v>
      </c>
      <c r="R142" s="33"/>
      <c r="S142" s="41"/>
    </row>
    <row r="143" spans="1:19" ht="17.399999999999999" x14ac:dyDescent="0.45">
      <c r="A143" s="66"/>
      <c r="B143" s="37"/>
      <c r="C143" s="36"/>
      <c r="D143" s="36"/>
      <c r="E143" s="36"/>
      <c r="F143" s="36"/>
      <c r="G143" s="34"/>
      <c r="H143" s="9"/>
      <c r="I143" s="25" t="s">
        <v>258</v>
      </c>
      <c r="J143" s="26" t="s">
        <v>96</v>
      </c>
      <c r="K143" s="55">
        <f>SUM(B143:G143)</f>
        <v>0</v>
      </c>
      <c r="L143" s="29">
        <f>K143*(250/2)</f>
        <v>0</v>
      </c>
      <c r="M143" s="29">
        <f>K143*(10/2)</f>
        <v>0</v>
      </c>
      <c r="N143" s="29">
        <f>K143*(220/2)</f>
        <v>0</v>
      </c>
      <c r="O143" s="23">
        <f>K143*0</f>
        <v>0</v>
      </c>
      <c r="P143" s="23">
        <f>K143*(41/2)</f>
        <v>0</v>
      </c>
      <c r="Q143" s="24">
        <f>K143*(2/2)</f>
        <v>0</v>
      </c>
      <c r="R143" s="33"/>
      <c r="S143" s="41"/>
    </row>
    <row r="144" spans="1:19" ht="17.399999999999999" x14ac:dyDescent="0.45">
      <c r="A144" s="66"/>
      <c r="B144" s="37"/>
      <c r="C144" s="36"/>
      <c r="D144" s="36"/>
      <c r="E144" s="36"/>
      <c r="F144" s="36"/>
      <c r="G144" s="34"/>
      <c r="H144" s="9"/>
      <c r="I144" s="25"/>
      <c r="J144" s="26"/>
      <c r="K144" s="55">
        <f>SUM(B144:G144)</f>
        <v>0</v>
      </c>
      <c r="L144" s="29"/>
      <c r="M144" s="29"/>
      <c r="N144" s="29"/>
      <c r="O144" s="23"/>
      <c r="P144" s="24"/>
      <c r="Q144" s="24"/>
      <c r="R144" s="33"/>
      <c r="S144" s="41"/>
    </row>
    <row r="145" spans="1:19" ht="17.399999999999999" x14ac:dyDescent="0.45">
      <c r="A145" s="66"/>
      <c r="B145" s="37"/>
      <c r="C145" s="36"/>
      <c r="D145" s="36"/>
      <c r="E145" s="36"/>
      <c r="F145" s="36"/>
      <c r="G145" s="34"/>
      <c r="H145" s="9"/>
      <c r="I145" s="25"/>
      <c r="J145" s="26"/>
      <c r="K145" s="55">
        <f>SUM(B145:G145)</f>
        <v>0</v>
      </c>
      <c r="L145" s="29"/>
      <c r="M145" s="76"/>
      <c r="N145" s="23"/>
      <c r="O145" s="23"/>
      <c r="P145" s="24"/>
      <c r="Q145" s="23"/>
      <c r="R145" s="33"/>
      <c r="S145" s="41"/>
    </row>
    <row r="146" spans="1:19" ht="17.399999999999999" x14ac:dyDescent="0.45">
      <c r="A146" s="66"/>
      <c r="B146" s="37"/>
      <c r="C146" s="36"/>
      <c r="D146" s="36"/>
      <c r="E146" s="36"/>
      <c r="F146" s="36"/>
      <c r="G146" s="34"/>
      <c r="H146" s="9"/>
      <c r="I146" s="25"/>
      <c r="J146" s="26"/>
      <c r="K146" s="55">
        <f>SUM(B146:G146)</f>
        <v>0</v>
      </c>
      <c r="L146" s="29"/>
      <c r="M146" s="76"/>
      <c r="N146" s="23"/>
      <c r="O146" s="23"/>
      <c r="P146" s="24"/>
      <c r="Q146" s="29"/>
      <c r="R146" s="33"/>
      <c r="S146" s="41"/>
    </row>
    <row r="147" spans="1:19" ht="15.6" x14ac:dyDescent="0.3">
      <c r="A147" s="66"/>
      <c r="H147" s="9"/>
      <c r="R147" s="33"/>
      <c r="S147" s="41"/>
    </row>
    <row r="148" spans="1:19" ht="15.6" x14ac:dyDescent="0.3">
      <c r="A148" s="66"/>
      <c r="H148" s="9"/>
      <c r="R148" s="33"/>
      <c r="S148" s="41"/>
    </row>
    <row r="149" spans="1:19" ht="15.6" x14ac:dyDescent="0.3">
      <c r="A149" s="66"/>
      <c r="H149" s="9"/>
      <c r="R149" s="33"/>
      <c r="S149" s="41"/>
    </row>
    <row r="150" spans="1:19" ht="15.6" x14ac:dyDescent="0.3">
      <c r="A150" s="66"/>
      <c r="H150" s="9"/>
      <c r="R150" s="33"/>
      <c r="S150" s="41"/>
    </row>
    <row r="151" spans="1:19" ht="15.6" x14ac:dyDescent="0.3">
      <c r="A151" s="66"/>
      <c r="H151" s="9"/>
      <c r="R151" s="33"/>
      <c r="S151" s="41"/>
    </row>
    <row r="152" spans="1:19" ht="15.6" x14ac:dyDescent="0.3">
      <c r="A152" s="66"/>
      <c r="H152" s="9"/>
      <c r="R152" s="33"/>
      <c r="S152" s="41"/>
    </row>
    <row r="153" spans="1:19" ht="15.6" x14ac:dyDescent="0.3">
      <c r="A153" s="66"/>
      <c r="H153" s="9"/>
      <c r="R153" s="33"/>
      <c r="S153" s="41"/>
    </row>
    <row r="154" spans="1:19" ht="15.6" x14ac:dyDescent="0.3">
      <c r="A154" s="66"/>
      <c r="H154" s="9"/>
      <c r="R154" s="33"/>
      <c r="S154" s="41"/>
    </row>
    <row r="155" spans="1:19" ht="15.6" x14ac:dyDescent="0.3">
      <c r="A155" s="75"/>
      <c r="H155" s="9"/>
      <c r="R155" s="33"/>
      <c r="S155" s="41"/>
    </row>
    <row r="156" spans="1:19" ht="15.6" x14ac:dyDescent="0.3">
      <c r="A156" s="75"/>
      <c r="H156" s="9"/>
      <c r="R156" s="33"/>
      <c r="S156" s="41"/>
    </row>
    <row r="157" spans="1:19" ht="15.6" x14ac:dyDescent="0.3">
      <c r="A157" s="75"/>
      <c r="H157" s="9"/>
      <c r="R157" s="33"/>
      <c r="S157" s="41"/>
    </row>
    <row r="158" spans="1:19" ht="15.6" x14ac:dyDescent="0.3">
      <c r="A158" s="75"/>
      <c r="H158" s="9"/>
      <c r="R158" s="33"/>
      <c r="S158" s="41"/>
    </row>
    <row r="159" spans="1:19" ht="15.6" x14ac:dyDescent="0.3">
      <c r="A159" s="75"/>
      <c r="H159" s="9"/>
      <c r="R159" s="33"/>
      <c r="S159" s="41"/>
    </row>
    <row r="160" spans="1:19" ht="15.6" x14ac:dyDescent="0.3">
      <c r="A160" s="75"/>
      <c r="H160" s="9"/>
      <c r="R160" s="33"/>
      <c r="S160" s="41"/>
    </row>
    <row r="161" spans="1:19" ht="15.6" x14ac:dyDescent="0.3">
      <c r="A161" s="75"/>
      <c r="H161" s="9"/>
      <c r="R161" s="33"/>
      <c r="S161" s="41"/>
    </row>
    <row r="162" spans="1:19" ht="15.6" x14ac:dyDescent="0.3">
      <c r="A162" s="75"/>
      <c r="H162" s="9"/>
      <c r="R162" s="33"/>
      <c r="S162" s="41"/>
    </row>
    <row r="163" spans="1:19" ht="15.6" x14ac:dyDescent="0.3">
      <c r="A163" s="75"/>
      <c r="H163" s="9"/>
      <c r="R163" s="33"/>
      <c r="S163" s="41"/>
    </row>
    <row r="164" spans="1:19" ht="15.6" x14ac:dyDescent="0.3">
      <c r="A164" s="75"/>
      <c r="H164" s="9"/>
      <c r="R164" s="33"/>
      <c r="S164" s="41"/>
    </row>
    <row r="165" spans="1:19" ht="15.6" x14ac:dyDescent="0.3">
      <c r="A165" s="75"/>
      <c r="H165" s="9"/>
      <c r="R165" s="33"/>
      <c r="S165" s="41"/>
    </row>
    <row r="166" spans="1:19" ht="15.6" x14ac:dyDescent="0.3">
      <c r="A166" s="75"/>
      <c r="H166" s="9"/>
      <c r="R166" s="33"/>
      <c r="S166" s="41"/>
    </row>
    <row r="167" spans="1:19" ht="15.6" x14ac:dyDescent="0.3">
      <c r="A167" s="75"/>
      <c r="H167" s="9"/>
      <c r="R167" s="33"/>
      <c r="S167" s="41"/>
    </row>
    <row r="168" spans="1:19" ht="15.6" x14ac:dyDescent="0.3">
      <c r="A168" s="75"/>
      <c r="H168" s="9"/>
      <c r="R168" s="33"/>
      <c r="S168" s="41"/>
    </row>
    <row r="169" spans="1:19" ht="15.6" x14ac:dyDescent="0.3">
      <c r="A169" s="75"/>
      <c r="H169" s="9"/>
      <c r="R169" s="33"/>
      <c r="S169" s="41"/>
    </row>
    <row r="170" spans="1:19" ht="15.6" x14ac:dyDescent="0.3">
      <c r="A170" s="75"/>
      <c r="H170" s="9"/>
      <c r="R170" s="33"/>
      <c r="S170" s="41"/>
    </row>
    <row r="171" spans="1:19" ht="15.6" x14ac:dyDescent="0.3">
      <c r="A171" s="75"/>
      <c r="H171" s="9"/>
      <c r="R171" s="33"/>
      <c r="S171" s="41"/>
    </row>
    <row r="172" spans="1:19" ht="15.6" x14ac:dyDescent="0.3">
      <c r="A172" s="75"/>
      <c r="H172" s="9"/>
      <c r="R172" s="33"/>
      <c r="S172" s="41"/>
    </row>
    <row r="173" spans="1:19" ht="15.6" x14ac:dyDescent="0.3">
      <c r="A173" s="75"/>
      <c r="H173" s="9"/>
      <c r="R173" s="33"/>
      <c r="S173" s="41"/>
    </row>
    <row r="174" spans="1:19" ht="15.6" x14ac:dyDescent="0.3">
      <c r="A174" s="75"/>
      <c r="H174" s="9"/>
      <c r="R174" s="33"/>
      <c r="S174" s="41"/>
    </row>
    <row r="175" spans="1:19" ht="15.6" x14ac:dyDescent="0.3">
      <c r="A175" s="75"/>
      <c r="H175" s="9"/>
      <c r="R175" s="33"/>
      <c r="S175" s="41"/>
    </row>
    <row r="176" spans="1:19" ht="15.6" x14ac:dyDescent="0.3">
      <c r="A176" s="75"/>
      <c r="H176" s="9"/>
      <c r="R176" s="33"/>
      <c r="S176" s="41"/>
    </row>
    <row r="177" spans="1:19" ht="15.6" x14ac:dyDescent="0.3">
      <c r="A177" s="75"/>
      <c r="H177" s="9"/>
      <c r="R177" s="33"/>
      <c r="S177" s="41"/>
    </row>
    <row r="178" spans="1:19" ht="15.6" x14ac:dyDescent="0.3">
      <c r="A178" s="75"/>
      <c r="H178" s="9"/>
      <c r="R178" s="33"/>
      <c r="S178" s="41"/>
    </row>
    <row r="179" spans="1:19" ht="15.6" x14ac:dyDescent="0.3">
      <c r="A179" s="75"/>
      <c r="H179" s="9"/>
      <c r="R179" s="33"/>
      <c r="S179" s="41"/>
    </row>
    <row r="180" spans="1:19" ht="15.6" x14ac:dyDescent="0.3">
      <c r="A180" s="75"/>
      <c r="H180" s="9"/>
      <c r="R180" s="33"/>
      <c r="S180" s="41"/>
    </row>
    <row r="181" spans="1:19" ht="15.6" x14ac:dyDescent="0.3">
      <c r="A181" s="75"/>
      <c r="H181" s="9"/>
      <c r="R181" s="33"/>
      <c r="S181" s="41"/>
    </row>
    <row r="182" spans="1:19" ht="15.6" x14ac:dyDescent="0.3">
      <c r="A182" s="75"/>
      <c r="H182" s="9"/>
      <c r="R182" s="33"/>
      <c r="S182" s="41"/>
    </row>
    <row r="183" spans="1:19" ht="15.6" x14ac:dyDescent="0.3">
      <c r="A183" s="75"/>
      <c r="H183" s="9"/>
      <c r="R183" s="33"/>
      <c r="S183" s="41"/>
    </row>
  </sheetData>
  <mergeCells count="1">
    <mergeCell ref="B1:G1"/>
  </mergeCells>
  <conditionalFormatting sqref="M1">
    <cfRule type="cellIs" dxfId="16" priority="1" operator="greaterThan">
      <formula>300</formula>
    </cfRule>
  </conditionalFormatting>
  <pageMargins left="0.7" right="0.7" top="0.75" bottom="0.75" header="0.3" footer="0.3"/>
  <pageSetup orientation="portrait" horizontalDpi="4294967293" verticalDpi="0" r:id="rId1"/>
  <ignoredErrors>
    <ignoredError sqref="N1 M46 M96 M134 M136 O121 O124 Q96 M90 M132 M88 O143 M13 M20 O61 N111:O111 O113 M109 M43" formula="1"/>
    <ignoredError sqref="P3:P4 P105:P106 P103 P115 P113 P7:P8 P101 P126 P88:P98 P123 P132 P44:P59 P135:P140 P61:P67 P11 P29:P31 P26:P27 P69:P77 P13:P24 P142 P79:P86 P33:P42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9</vt:i4>
      </vt:variant>
    </vt:vector>
  </HeadingPairs>
  <TitlesOfParts>
    <vt:vector size="11" baseType="lpstr">
      <vt:lpstr>March 2016</vt:lpstr>
      <vt:lpstr>Servings</vt:lpstr>
      <vt:lpstr>Calories</vt:lpstr>
      <vt:lpstr>Cholesterol</vt:lpstr>
      <vt:lpstr>Sodium</vt:lpstr>
      <vt:lpstr>Potassium</vt:lpstr>
      <vt:lpstr>Protein</vt:lpstr>
      <vt:lpstr>Protein Cholesterol %</vt:lpstr>
      <vt:lpstr>Weight</vt:lpstr>
      <vt:lpstr>Blood Pressure</vt:lpstr>
      <vt:lpstr>Pulse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Archie Chipps</dc:creator>
  <cp:lastModifiedBy>Archie Chipps</cp:lastModifiedBy>
  <cp:lastPrinted>2015-02-18T13:16:20Z</cp:lastPrinted>
  <dcterms:created xsi:type="dcterms:W3CDTF">2014-11-30T03:42:26Z</dcterms:created>
  <dcterms:modified xsi:type="dcterms:W3CDTF">2016-03-31T23:16:02Z</dcterms:modified>
</cp:coreProperties>
</file>